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iskhenine/Desktop/EFFACER /"/>
    </mc:Choice>
  </mc:AlternateContent>
  <xr:revisionPtr revIDLastSave="0" documentId="8_{C3C5D0F0-D334-1148-8B05-5D2DCD770EBB}" xr6:coauthVersionLast="47" xr6:coauthVersionMax="47" xr10:uidLastSave="{00000000-0000-0000-0000-000000000000}"/>
  <bookViews>
    <workbookView xWindow="0" yWindow="600" windowWidth="28800" windowHeight="17400" tabRatio="500" firstSheet="1" activeTab="6" xr2:uid="{00000000-000D-0000-FFFF-FFFF00000000}"/>
  </bookViews>
  <sheets>
    <sheet name="Evolution RH en nombre" sheetId="1" r:id="rId1"/>
    <sheet name="Investissement par RH" sheetId="2" r:id="rId2"/>
    <sheet name="Budget RH en nombre TTC" sheetId="3" r:id="rId3"/>
    <sheet name="Sheet9" sheetId="4" r:id="rId4"/>
    <sheet name="Invest-Amort et TVA" sheetId="5" r:id="rId5"/>
    <sheet name="CASH FLOW - TRESORERIE" sheetId="6" r:id="rId6"/>
    <sheet name="Charges d'exploitation" sheetId="7" r:id="rId7"/>
    <sheet name="Charges prévi-Trésorerie" sheetId="8" r:id="rId8"/>
    <sheet name="Calcul de TVA à payer" sheetId="9" r:id="rId9"/>
    <sheet name="CA Visiophonie" sheetId="10" r:id="rId10"/>
    <sheet name="Sheet4" sheetId="11" r:id="rId11"/>
    <sheet name="Sheet3" sheetId="12" r:id="rId12"/>
    <sheet name="CA - Readspeaker et IBM Watson" sheetId="13" r:id="rId13"/>
    <sheet name="Sheet2" sheetId="14" r:id="rId14"/>
    <sheet name="WATSON ANNUEL" sheetId="15" r:id="rId15"/>
    <sheet name="CHIFFRE D'AFFAIRE B2B" sheetId="16" r:id="rId16"/>
    <sheet name="Sheet5" sheetId="17" r:id="rId17"/>
    <sheet name="CA - Visiophonie - B2B" sheetId="18" r:id="rId18"/>
    <sheet name="Sheet7" sheetId="19" r:id="rId19"/>
    <sheet name="Sheet6" sheetId="20" r:id="rId20"/>
    <sheet name="Frais IBM WATSON" sheetId="21" r:id="rId21"/>
    <sheet name="Frais Readspeaker" sheetId="22" r:id="rId22"/>
    <sheet name="Plan de communication" sheetId="23" r:id="rId23"/>
    <sheet name="Sheet8" sheetId="24" r:id="rId24"/>
    <sheet name="Feuil1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35" i="6" l="1"/>
  <c r="F27" i="6"/>
  <c r="E7" i="5"/>
  <c r="E6" i="5"/>
  <c r="E5" i="5"/>
  <c r="L30" i="25"/>
  <c r="K30" i="25"/>
  <c r="I30" i="25"/>
  <c r="H30" i="25"/>
  <c r="F30" i="25"/>
  <c r="E30" i="25"/>
  <c r="C30" i="25"/>
  <c r="B30" i="25"/>
  <c r="M29" i="25"/>
  <c r="L29" i="25"/>
  <c r="K29" i="25"/>
  <c r="J29" i="25"/>
  <c r="I29" i="25"/>
  <c r="H29" i="25"/>
  <c r="G29" i="25"/>
  <c r="F29" i="25"/>
  <c r="E29" i="25"/>
  <c r="D29" i="25"/>
  <c r="C29" i="25"/>
  <c r="B29" i="25"/>
  <c r="M28" i="25"/>
  <c r="L28" i="25"/>
  <c r="K28" i="25"/>
  <c r="J28" i="25"/>
  <c r="I28" i="25"/>
  <c r="H28" i="25"/>
  <c r="G28" i="25"/>
  <c r="F28" i="25"/>
  <c r="E28" i="25"/>
  <c r="D28" i="25"/>
  <c r="C28" i="25"/>
  <c r="B28" i="25"/>
  <c r="N28" i="25" s="1"/>
  <c r="P28" i="25" s="1"/>
  <c r="M27" i="25"/>
  <c r="L27" i="25"/>
  <c r="K27" i="25"/>
  <c r="J27" i="25"/>
  <c r="I27" i="25"/>
  <c r="H27" i="25"/>
  <c r="G27" i="25"/>
  <c r="F27" i="25"/>
  <c r="E27" i="25"/>
  <c r="D27" i="25"/>
  <c r="C27" i="25"/>
  <c r="B27" i="25"/>
  <c r="N27" i="25" s="1"/>
  <c r="M26" i="25"/>
  <c r="L26" i="25"/>
  <c r="K26" i="25"/>
  <c r="J26" i="25"/>
  <c r="I26" i="25"/>
  <c r="H26" i="25"/>
  <c r="G26" i="25"/>
  <c r="F26" i="25"/>
  <c r="E26" i="25"/>
  <c r="D26" i="25"/>
  <c r="C26" i="25"/>
  <c r="B26" i="25"/>
  <c r="M25" i="25"/>
  <c r="L25" i="25"/>
  <c r="K25" i="25"/>
  <c r="J25" i="25"/>
  <c r="I25" i="25"/>
  <c r="H25" i="25"/>
  <c r="G25" i="25"/>
  <c r="F25" i="25"/>
  <c r="E25" i="25"/>
  <c r="D25" i="25"/>
  <c r="C25" i="25"/>
  <c r="B25" i="25"/>
  <c r="N25" i="25" s="1"/>
  <c r="M24" i="25"/>
  <c r="L24" i="25"/>
  <c r="K24" i="25"/>
  <c r="J24" i="25"/>
  <c r="I24" i="25"/>
  <c r="H24" i="25"/>
  <c r="G24" i="25"/>
  <c r="F24" i="25"/>
  <c r="E24" i="25"/>
  <c r="D24" i="25"/>
  <c r="C24" i="25"/>
  <c r="B24" i="25"/>
  <c r="N24" i="25" s="1"/>
  <c r="M23" i="25"/>
  <c r="L23" i="25"/>
  <c r="K23" i="25"/>
  <c r="J23" i="25"/>
  <c r="I23" i="25"/>
  <c r="H23" i="25"/>
  <c r="G23" i="25"/>
  <c r="F23" i="25"/>
  <c r="E23" i="25"/>
  <c r="D23" i="25"/>
  <c r="C23" i="25"/>
  <c r="B23" i="25"/>
  <c r="N23" i="25" s="1"/>
  <c r="M22" i="25"/>
  <c r="L22" i="25"/>
  <c r="K22" i="25"/>
  <c r="I22" i="25"/>
  <c r="H22" i="25"/>
  <c r="G22" i="25"/>
  <c r="F22" i="25"/>
  <c r="E22" i="25"/>
  <c r="D22" i="25"/>
  <c r="C22" i="25"/>
  <c r="B22" i="25"/>
  <c r="M18" i="25"/>
  <c r="L18" i="25"/>
  <c r="K18" i="25"/>
  <c r="J18" i="25"/>
  <c r="I18" i="25"/>
  <c r="H18" i="25"/>
  <c r="G18" i="25"/>
  <c r="F18" i="25"/>
  <c r="E18" i="25"/>
  <c r="D18" i="25"/>
  <c r="C18" i="25"/>
  <c r="B18" i="25"/>
  <c r="M17" i="25"/>
  <c r="L17" i="25"/>
  <c r="K17" i="25"/>
  <c r="J17" i="25"/>
  <c r="I17" i="25"/>
  <c r="H17" i="25"/>
  <c r="G17" i="25"/>
  <c r="F17" i="25"/>
  <c r="E17" i="25"/>
  <c r="D17" i="25"/>
  <c r="C17" i="25"/>
  <c r="B17" i="25"/>
  <c r="M16" i="25"/>
  <c r="L16" i="25"/>
  <c r="L19" i="25" s="1"/>
  <c r="K16" i="25"/>
  <c r="J16" i="25"/>
  <c r="J19" i="25" s="1"/>
  <c r="I16" i="25"/>
  <c r="I19" i="25" s="1"/>
  <c r="H16" i="25"/>
  <c r="H19" i="25" s="1"/>
  <c r="G16" i="25"/>
  <c r="F16" i="25"/>
  <c r="F19" i="25" s="1"/>
  <c r="E16" i="25"/>
  <c r="E19" i="25" s="1"/>
  <c r="D16" i="25"/>
  <c r="D19" i="25" s="1"/>
  <c r="C16" i="25"/>
  <c r="B16" i="25"/>
  <c r="N16" i="25" s="1"/>
  <c r="U16" i="24"/>
  <c r="T16" i="24"/>
  <c r="S16" i="24"/>
  <c r="R16" i="24"/>
  <c r="Q16" i="24"/>
  <c r="P16" i="24"/>
  <c r="O16" i="24"/>
  <c r="N16" i="24"/>
  <c r="M16" i="24"/>
  <c r="L16" i="24"/>
  <c r="K16" i="24"/>
  <c r="J16" i="24"/>
  <c r="I16" i="24"/>
  <c r="H16" i="24"/>
  <c r="G16" i="24"/>
  <c r="F16" i="24"/>
  <c r="E16" i="24"/>
  <c r="D16" i="24"/>
  <c r="C16" i="24"/>
  <c r="B16" i="24"/>
  <c r="E116" i="23"/>
  <c r="U16" i="23"/>
  <c r="T16" i="23"/>
  <c r="S16" i="23"/>
  <c r="H202" i="7" s="1"/>
  <c r="H190" i="8" s="1"/>
  <c r="R16" i="23"/>
  <c r="Q16" i="23"/>
  <c r="P16" i="23"/>
  <c r="O16" i="23"/>
  <c r="N16" i="23"/>
  <c r="M16" i="23"/>
  <c r="L16" i="23"/>
  <c r="K16" i="23"/>
  <c r="J17" i="23" s="1"/>
  <c r="J16" i="23"/>
  <c r="I16" i="23"/>
  <c r="H16" i="23"/>
  <c r="G16" i="23"/>
  <c r="F16" i="23"/>
  <c r="F17" i="23" s="1"/>
  <c r="E16" i="23"/>
  <c r="D16" i="23"/>
  <c r="C16" i="23"/>
  <c r="B16" i="23"/>
  <c r="C7" i="22"/>
  <c r="E7" i="22" s="1"/>
  <c r="C6" i="22"/>
  <c r="C5" i="22"/>
  <c r="E5" i="22" s="1"/>
  <c r="E4" i="22"/>
  <c r="C4" i="22"/>
  <c r="C3" i="22"/>
  <c r="L14" i="21"/>
  <c r="L13" i="21"/>
  <c r="L12" i="21"/>
  <c r="H7" i="21"/>
  <c r="BT6" i="21"/>
  <c r="BM6" i="21"/>
  <c r="BG6" i="21"/>
  <c r="BC6" i="21"/>
  <c r="AY6" i="21"/>
  <c r="AV6" i="21"/>
  <c r="AR6" i="21"/>
  <c r="AN6" i="21"/>
  <c r="AK6" i="21"/>
  <c r="AH6" i="21"/>
  <c r="AE6" i="21"/>
  <c r="AC6" i="21"/>
  <c r="Z6" i="21"/>
  <c r="W6" i="21"/>
  <c r="U6" i="21"/>
  <c r="R6" i="21"/>
  <c r="O6" i="21"/>
  <c r="M6" i="21"/>
  <c r="L6" i="21"/>
  <c r="BS6" i="21" s="1"/>
  <c r="BS5" i="21"/>
  <c r="BK5" i="21"/>
  <c r="BC5" i="21"/>
  <c r="AU5" i="21"/>
  <c r="AM5" i="21"/>
  <c r="AE5" i="21"/>
  <c r="W5" i="21"/>
  <c r="O5" i="21"/>
  <c r="L5" i="21"/>
  <c r="BQ5" i="21" s="1"/>
  <c r="H5" i="21"/>
  <c r="BQ4" i="21"/>
  <c r="BI4" i="21"/>
  <c r="BA4" i="21"/>
  <c r="AS4" i="21"/>
  <c r="AK4" i="21"/>
  <c r="AC4" i="21"/>
  <c r="U4" i="21"/>
  <c r="M4" i="21"/>
  <c r="L4" i="21"/>
  <c r="BM4" i="21" s="1"/>
  <c r="C4" i="21"/>
  <c r="E4" i="21" s="1"/>
  <c r="E3" i="21"/>
  <c r="G6" i="19"/>
  <c r="F6" i="19"/>
  <c r="E6" i="19"/>
  <c r="D6" i="19"/>
  <c r="C6" i="19"/>
  <c r="BI17" i="18"/>
  <c r="AS17" i="18"/>
  <c r="AC17" i="18"/>
  <c r="M17" i="18"/>
  <c r="G17" i="18"/>
  <c r="G16" i="18"/>
  <c r="G15" i="18"/>
  <c r="BO9" i="18"/>
  <c r="BN9" i="18"/>
  <c r="BM9" i="18"/>
  <c r="BM17" i="18" s="1"/>
  <c r="BL9" i="18"/>
  <c r="BK9" i="18"/>
  <c r="BJ9" i="18"/>
  <c r="BI9" i="18"/>
  <c r="BH9" i="18"/>
  <c r="BG9" i="18"/>
  <c r="BF9" i="18"/>
  <c r="BE9" i="18"/>
  <c r="BE17" i="18" s="1"/>
  <c r="BD9" i="18"/>
  <c r="BC9" i="18"/>
  <c r="BB9" i="18"/>
  <c r="BA9" i="18"/>
  <c r="AZ9" i="18"/>
  <c r="AY9" i="18"/>
  <c r="AX9" i="18"/>
  <c r="AW9" i="18"/>
  <c r="AW17" i="18" s="1"/>
  <c r="AV9" i="18"/>
  <c r="AU9" i="18"/>
  <c r="AT9" i="18"/>
  <c r="AS9" i="18"/>
  <c r="AR9" i="18"/>
  <c r="AQ9" i="18"/>
  <c r="AP9" i="18"/>
  <c r="AO9" i="18"/>
  <c r="AO17" i="18" s="1"/>
  <c r="AN9" i="18"/>
  <c r="AM9" i="18"/>
  <c r="AL9" i="18"/>
  <c r="AK9" i="18"/>
  <c r="AJ9" i="18"/>
  <c r="AI9" i="18"/>
  <c r="AH9" i="18"/>
  <c r="AG9" i="18"/>
  <c r="AG17" i="18" s="1"/>
  <c r="AF9" i="18"/>
  <c r="AE9" i="18"/>
  <c r="AD9" i="18"/>
  <c r="AC9" i="18"/>
  <c r="AB9" i="18"/>
  <c r="AA9" i="18"/>
  <c r="Z9" i="18"/>
  <c r="Y9" i="18"/>
  <c r="Y17" i="18" s="1"/>
  <c r="X9" i="18"/>
  <c r="W9" i="18"/>
  <c r="V9" i="18"/>
  <c r="U9" i="18"/>
  <c r="T9" i="18"/>
  <c r="S9" i="18"/>
  <c r="R9" i="18"/>
  <c r="Q9" i="18"/>
  <c r="Q17" i="18" s="1"/>
  <c r="P9" i="18"/>
  <c r="O9" i="18"/>
  <c r="N9" i="18"/>
  <c r="M9" i="18"/>
  <c r="L9" i="18"/>
  <c r="K9" i="18"/>
  <c r="J9" i="18"/>
  <c r="I9" i="18"/>
  <c r="I17" i="18" s="1"/>
  <c r="H9" i="18"/>
  <c r="F9" i="18"/>
  <c r="F17" i="18" s="1"/>
  <c r="BO8" i="18"/>
  <c r="BN8" i="18"/>
  <c r="BM8" i="18"/>
  <c r="BL8" i="18"/>
  <c r="BK8" i="18"/>
  <c r="BJ8" i="18"/>
  <c r="BI8" i="18"/>
  <c r="BH8" i="18"/>
  <c r="BG8" i="18"/>
  <c r="BF8" i="18"/>
  <c r="BE8" i="18"/>
  <c r="BD8" i="18"/>
  <c r="BC8" i="18"/>
  <c r="BB8" i="18"/>
  <c r="BA8" i="18"/>
  <c r="AZ8" i="18"/>
  <c r="AY8" i="18"/>
  <c r="AX8" i="18"/>
  <c r="AW8" i="18"/>
  <c r="AV8" i="18"/>
  <c r="AU8" i="18"/>
  <c r="AT8" i="18"/>
  <c r="AS8" i="18"/>
  <c r="AR8" i="18"/>
  <c r="AQ8" i="18"/>
  <c r="AP8" i="18"/>
  <c r="AO8" i="18"/>
  <c r="AN8" i="18"/>
  <c r="AM8" i="18"/>
  <c r="AL8" i="18"/>
  <c r="AK8" i="18"/>
  <c r="AJ8" i="18"/>
  <c r="AI8" i="18"/>
  <c r="AH8" i="18"/>
  <c r="AG8" i="18"/>
  <c r="AF8" i="18"/>
  <c r="AE8" i="18"/>
  <c r="AD8" i="18"/>
  <c r="AC8" i="18"/>
  <c r="AB8" i="18"/>
  <c r="AA8" i="18"/>
  <c r="Z8" i="18"/>
  <c r="Y8" i="18"/>
  <c r="X8" i="18"/>
  <c r="W8" i="18"/>
  <c r="V8" i="18"/>
  <c r="U8" i="18"/>
  <c r="T8" i="18"/>
  <c r="S8" i="18"/>
  <c r="R8" i="18"/>
  <c r="Q8" i="18"/>
  <c r="P8" i="18"/>
  <c r="O8" i="18"/>
  <c r="N8" i="18"/>
  <c r="M8" i="18"/>
  <c r="L8" i="18"/>
  <c r="K8" i="18"/>
  <c r="J8" i="18"/>
  <c r="I8" i="18"/>
  <c r="H8" i="18"/>
  <c r="H16" i="18" s="1"/>
  <c r="F8" i="18"/>
  <c r="F16" i="18" s="1"/>
  <c r="BO7" i="18"/>
  <c r="BN7" i="18"/>
  <c r="BM7" i="18"/>
  <c r="BL7" i="18"/>
  <c r="BK7" i="18"/>
  <c r="BJ7" i="18"/>
  <c r="BI7" i="18"/>
  <c r="BH7" i="18"/>
  <c r="BG7" i="18"/>
  <c r="BF7" i="18"/>
  <c r="BE7" i="18"/>
  <c r="BD7" i="18"/>
  <c r="BC7" i="18"/>
  <c r="BB7" i="18"/>
  <c r="BA7" i="18"/>
  <c r="AZ7" i="18"/>
  <c r="AY7" i="18"/>
  <c r="AX7" i="18"/>
  <c r="AW7" i="18"/>
  <c r="AV7" i="18"/>
  <c r="AU7" i="18"/>
  <c r="AT7" i="18"/>
  <c r="AS7" i="18"/>
  <c r="AR7" i="18"/>
  <c r="AQ7" i="18"/>
  <c r="AP7" i="18"/>
  <c r="AO7" i="18"/>
  <c r="AN7" i="18"/>
  <c r="AM7" i="18"/>
  <c r="AL7" i="18"/>
  <c r="AK7" i="18"/>
  <c r="AJ7" i="18"/>
  <c r="AI7" i="18"/>
  <c r="AH7" i="18"/>
  <c r="AG7" i="18"/>
  <c r="AF7" i="18"/>
  <c r="AE7" i="18"/>
  <c r="AD7" i="18"/>
  <c r="AC7" i="18"/>
  <c r="AB7" i="18"/>
  <c r="AA7" i="18"/>
  <c r="Z7" i="18"/>
  <c r="Y7" i="18"/>
  <c r="X7" i="18"/>
  <c r="W7" i="18"/>
  <c r="V7" i="18"/>
  <c r="U7" i="18"/>
  <c r="T7" i="18"/>
  <c r="S7" i="18"/>
  <c r="R7" i="18"/>
  <c r="Q7" i="18"/>
  <c r="P7" i="18"/>
  <c r="O7" i="18"/>
  <c r="N7" i="18"/>
  <c r="M7" i="18"/>
  <c r="L7" i="18"/>
  <c r="K7" i="18"/>
  <c r="J7" i="18"/>
  <c r="I7" i="18"/>
  <c r="H7" i="18"/>
  <c r="F7" i="18"/>
  <c r="F15" i="18" s="1"/>
  <c r="C4" i="18"/>
  <c r="C3" i="18"/>
  <c r="C2" i="18"/>
  <c r="J15" i="18" s="1"/>
  <c r="G5" i="17"/>
  <c r="G4" i="17"/>
  <c r="BJ28" i="16"/>
  <c r="AG28" i="16"/>
  <c r="BJ22" i="16"/>
  <c r="AG22" i="16"/>
  <c r="BP21" i="16"/>
  <c r="BI21" i="16"/>
  <c r="BI28" i="16" s="1"/>
  <c r="BE21" i="16"/>
  <c r="AZ21" i="16"/>
  <c r="AO21" i="16"/>
  <c r="AJ21" i="16"/>
  <c r="T21" i="16"/>
  <c r="T28" i="16" s="1"/>
  <c r="M21" i="16"/>
  <c r="M28" i="16" s="1"/>
  <c r="M29" i="16" s="1"/>
  <c r="BP13" i="16"/>
  <c r="BO13" i="16"/>
  <c r="BO21" i="16" s="1"/>
  <c r="BN13" i="16"/>
  <c r="BN21" i="16" s="1"/>
  <c r="BM13" i="16"/>
  <c r="BM21" i="16" s="1"/>
  <c r="BL13" i="16"/>
  <c r="BL21" i="16" s="1"/>
  <c r="BK13" i="16"/>
  <c r="BK21" i="16" s="1"/>
  <c r="BJ13" i="16"/>
  <c r="BJ21" i="16" s="1"/>
  <c r="BI13" i="16"/>
  <c r="BH13" i="16"/>
  <c r="BH21" i="16" s="1"/>
  <c r="BG13" i="16"/>
  <c r="BG21" i="16" s="1"/>
  <c r="BF13" i="16"/>
  <c r="BF21" i="16" s="1"/>
  <c r="BF28" i="16" s="1"/>
  <c r="BE13" i="16"/>
  <c r="BD13" i="16"/>
  <c r="BD21" i="16" s="1"/>
  <c r="BC13" i="16"/>
  <c r="BC21" i="16" s="1"/>
  <c r="BB13" i="16"/>
  <c r="BB21" i="16" s="1"/>
  <c r="BA13" i="16"/>
  <c r="BA21" i="16" s="1"/>
  <c r="BA28" i="16" s="1"/>
  <c r="AZ13" i="16"/>
  <c r="AY13" i="16"/>
  <c r="AY21" i="16" s="1"/>
  <c r="AX13" i="16"/>
  <c r="AX21" i="16" s="1"/>
  <c r="AX28" i="16" s="1"/>
  <c r="AW13" i="16"/>
  <c r="AW21" i="16" s="1"/>
  <c r="AV13" i="16"/>
  <c r="AV21" i="16" s="1"/>
  <c r="AU13" i="16"/>
  <c r="AU21" i="16" s="1"/>
  <c r="AT13" i="16"/>
  <c r="AT21" i="16" s="1"/>
  <c r="AS13" i="16"/>
  <c r="AS21" i="16" s="1"/>
  <c r="AR13" i="16"/>
  <c r="AR21" i="16" s="1"/>
  <c r="AQ13" i="16"/>
  <c r="AQ21" i="16" s="1"/>
  <c r="AQ22" i="16" s="1"/>
  <c r="AP13" i="16"/>
  <c r="AP21" i="16" s="1"/>
  <c r="AP28" i="16" s="1"/>
  <c r="AO13" i="16"/>
  <c r="AN13" i="16"/>
  <c r="AN21" i="16" s="1"/>
  <c r="AM13" i="16"/>
  <c r="AM21" i="16" s="1"/>
  <c r="AL13" i="16"/>
  <c r="AL21" i="16" s="1"/>
  <c r="AK13" i="16"/>
  <c r="AK21" i="16" s="1"/>
  <c r="AK28" i="16" s="1"/>
  <c r="AJ13" i="16"/>
  <c r="AI13" i="16"/>
  <c r="AI21" i="16" s="1"/>
  <c r="AH13" i="16"/>
  <c r="AH21" i="16" s="1"/>
  <c r="AH28" i="16" s="1"/>
  <c r="AG13" i="16"/>
  <c r="AG21" i="16" s="1"/>
  <c r="AF13" i="16"/>
  <c r="AF21" i="16" s="1"/>
  <c r="AF28" i="16" s="1"/>
  <c r="AE13" i="16"/>
  <c r="AE21" i="16" s="1"/>
  <c r="AE28" i="16" s="1"/>
  <c r="AD13" i="16"/>
  <c r="AD21" i="16" s="1"/>
  <c r="AC13" i="16"/>
  <c r="AC21" i="16" s="1"/>
  <c r="AC28" i="16" s="1"/>
  <c r="AB13" i="16"/>
  <c r="AB21" i="16" s="1"/>
  <c r="AA13" i="16"/>
  <c r="AA21" i="16" s="1"/>
  <c r="AA28" i="16" s="1"/>
  <c r="Z13" i="16"/>
  <c r="Z21" i="16" s="1"/>
  <c r="Z28" i="16" s="1"/>
  <c r="Y13" i="16"/>
  <c r="Y21" i="16" s="1"/>
  <c r="Y28" i="16" s="1"/>
  <c r="X13" i="16"/>
  <c r="X21" i="16" s="1"/>
  <c r="X28" i="16" s="1"/>
  <c r="W13" i="16"/>
  <c r="V13" i="16"/>
  <c r="V21" i="16" s="1"/>
  <c r="V28" i="16" s="1"/>
  <c r="U13" i="16"/>
  <c r="U21" i="16" s="1"/>
  <c r="U28" i="16" s="1"/>
  <c r="T13" i="16"/>
  <c r="S13" i="16"/>
  <c r="S21" i="16" s="1"/>
  <c r="R13" i="16"/>
  <c r="R21" i="16" s="1"/>
  <c r="R28" i="16" s="1"/>
  <c r="Q13" i="16"/>
  <c r="Q21" i="16" s="1"/>
  <c r="P13" i="16"/>
  <c r="P21" i="16" s="1"/>
  <c r="P28" i="16" s="1"/>
  <c r="O13" i="16"/>
  <c r="N13" i="16"/>
  <c r="N21" i="16" s="1"/>
  <c r="N28" i="16" s="1"/>
  <c r="M13" i="16"/>
  <c r="L13" i="16"/>
  <c r="L21" i="16" s="1"/>
  <c r="L28" i="16" s="1"/>
  <c r="K13" i="16"/>
  <c r="J13" i="16"/>
  <c r="J21" i="16" s="1"/>
  <c r="J28" i="16" s="1"/>
  <c r="I13" i="16"/>
  <c r="I21" i="16" s="1"/>
  <c r="C13" i="16"/>
  <c r="E13" i="16" s="1"/>
  <c r="E12" i="16"/>
  <c r="C12" i="16"/>
  <c r="C11" i="16"/>
  <c r="E11" i="16" s="1"/>
  <c r="C10" i="16"/>
  <c r="E10" i="16" s="1"/>
  <c r="M22" i="16" s="1"/>
  <c r="BP7" i="16"/>
  <c r="BO7" i="16"/>
  <c r="BN7" i="16"/>
  <c r="BM7" i="16"/>
  <c r="BL7" i="16"/>
  <c r="BK7" i="16"/>
  <c r="BJ7" i="16"/>
  <c r="BI7" i="16"/>
  <c r="BH7" i="16"/>
  <c r="BG7" i="16"/>
  <c r="BF7" i="16"/>
  <c r="BE7" i="16"/>
  <c r="BD7" i="16"/>
  <c r="BC7" i="16"/>
  <c r="BB7" i="16"/>
  <c r="BA7" i="16"/>
  <c r="AZ7" i="16"/>
  <c r="AY7" i="16"/>
  <c r="AX7" i="16"/>
  <c r="AW7" i="16"/>
  <c r="AV7" i="16"/>
  <c r="AU7" i="16"/>
  <c r="AT7" i="16"/>
  <c r="AS7" i="16"/>
  <c r="AR7" i="16"/>
  <c r="AQ7" i="16"/>
  <c r="AP7" i="16"/>
  <c r="AO7" i="16"/>
  <c r="AN7" i="16"/>
  <c r="AM7" i="16"/>
  <c r="AL7" i="16"/>
  <c r="AK7" i="16"/>
  <c r="AJ7" i="16"/>
  <c r="AI7" i="16"/>
  <c r="AH7" i="16"/>
  <c r="AG7" i="16"/>
  <c r="AF7" i="16"/>
  <c r="AE7" i="16"/>
  <c r="AD7" i="16"/>
  <c r="AC7" i="16"/>
  <c r="AB7" i="16"/>
  <c r="AA7" i="16"/>
  <c r="Z7" i="16"/>
  <c r="Y7" i="16"/>
  <c r="X7" i="16"/>
  <c r="W7" i="16"/>
  <c r="V7" i="16"/>
  <c r="U7" i="16"/>
  <c r="T7" i="16"/>
  <c r="S7" i="16"/>
  <c r="R7" i="16"/>
  <c r="Q7" i="16"/>
  <c r="P7" i="16"/>
  <c r="O7" i="16"/>
  <c r="N7" i="16"/>
  <c r="M7" i="16"/>
  <c r="L7" i="16"/>
  <c r="K7" i="16"/>
  <c r="J7" i="16"/>
  <c r="I7" i="16"/>
  <c r="BQ6" i="16"/>
  <c r="I5" i="15"/>
  <c r="H5" i="15"/>
  <c r="G5" i="15"/>
  <c r="F5" i="15"/>
  <c r="I5" i="14"/>
  <c r="H5" i="14"/>
  <c r="G5" i="14"/>
  <c r="F5" i="14"/>
  <c r="E5" i="14"/>
  <c r="C40" i="13"/>
  <c r="E40" i="13" s="1"/>
  <c r="L39" i="13"/>
  <c r="L38" i="13"/>
  <c r="C38" i="13"/>
  <c r="E38" i="13" s="1"/>
  <c r="L37" i="13"/>
  <c r="C37" i="13"/>
  <c r="E37" i="13" s="1"/>
  <c r="M31" i="13"/>
  <c r="M39" i="13" s="1"/>
  <c r="M30" i="13"/>
  <c r="M38" i="13" s="1"/>
  <c r="M29" i="13"/>
  <c r="M18" i="13"/>
  <c r="L18" i="13"/>
  <c r="L17" i="13"/>
  <c r="L16" i="13"/>
  <c r="H10" i="13"/>
  <c r="C7" i="13" s="1"/>
  <c r="E7" i="13" s="1"/>
  <c r="AD9" i="13"/>
  <c r="M9" i="13"/>
  <c r="N9" i="13" s="1"/>
  <c r="M8" i="13"/>
  <c r="H8" i="13"/>
  <c r="M7" i="13"/>
  <c r="M16" i="13" s="1"/>
  <c r="E6" i="13"/>
  <c r="M7" i="12"/>
  <c r="I7" i="12"/>
  <c r="G7" i="12"/>
  <c r="P6" i="12"/>
  <c r="O6" i="12"/>
  <c r="N6" i="12"/>
  <c r="M6" i="12"/>
  <c r="L6" i="12"/>
  <c r="K6" i="12"/>
  <c r="K7" i="12" s="1"/>
  <c r="F6" i="12"/>
  <c r="E6" i="12"/>
  <c r="H17" i="10"/>
  <c r="H16" i="10"/>
  <c r="H15" i="10"/>
  <c r="I8" i="10"/>
  <c r="H8" i="10"/>
  <c r="H7" i="10"/>
  <c r="I7" i="10" s="1"/>
  <c r="H6" i="10"/>
  <c r="Y19" i="9"/>
  <c r="T19" i="9"/>
  <c r="O19" i="9"/>
  <c r="Y18" i="9"/>
  <c r="T18" i="9"/>
  <c r="O18" i="9"/>
  <c r="J18" i="9"/>
  <c r="D18" i="9"/>
  <c r="Y17" i="9"/>
  <c r="T17" i="9"/>
  <c r="O17" i="9"/>
  <c r="J17" i="9"/>
  <c r="D17" i="9"/>
  <c r="Y16" i="9"/>
  <c r="T16" i="9"/>
  <c r="O16" i="9"/>
  <c r="J16" i="9"/>
  <c r="D16" i="9"/>
  <c r="Y15" i="9"/>
  <c r="T15" i="9"/>
  <c r="O15" i="9"/>
  <c r="J15" i="9"/>
  <c r="D15" i="9"/>
  <c r="Y14" i="9"/>
  <c r="T14" i="9"/>
  <c r="O14" i="9"/>
  <c r="J14" i="9"/>
  <c r="D14" i="9"/>
  <c r="Y13" i="9"/>
  <c r="T13" i="9"/>
  <c r="O13" i="9"/>
  <c r="J13" i="9"/>
  <c r="D13" i="9"/>
  <c r="Y12" i="9"/>
  <c r="T12" i="9"/>
  <c r="O12" i="9"/>
  <c r="J12" i="9"/>
  <c r="D12" i="9"/>
  <c r="Y11" i="9"/>
  <c r="T11" i="9"/>
  <c r="O11" i="9"/>
  <c r="Y10" i="9"/>
  <c r="T10" i="9"/>
  <c r="O10" i="9"/>
  <c r="J10" i="9"/>
  <c r="D10" i="9"/>
  <c r="Y9" i="9"/>
  <c r="T9" i="9"/>
  <c r="O9" i="9"/>
  <c r="J9" i="9"/>
  <c r="D9" i="9"/>
  <c r="Y8" i="9"/>
  <c r="T8" i="9"/>
  <c r="O8" i="9"/>
  <c r="J8" i="9"/>
  <c r="D8" i="9"/>
  <c r="Y7" i="9"/>
  <c r="T7" i="9"/>
  <c r="O7" i="9"/>
  <c r="J7" i="9"/>
  <c r="D7" i="9"/>
  <c r="Y6" i="9"/>
  <c r="T6" i="9"/>
  <c r="O6" i="9"/>
  <c r="J6" i="9"/>
  <c r="Y5" i="9"/>
  <c r="T5" i="9"/>
  <c r="O5" i="9"/>
  <c r="J5" i="9"/>
  <c r="D5" i="9"/>
  <c r="Y4" i="9"/>
  <c r="T4" i="9"/>
  <c r="O4" i="9"/>
  <c r="J4" i="9"/>
  <c r="D4" i="9"/>
  <c r="Y3" i="9"/>
  <c r="T3" i="9"/>
  <c r="O3" i="9"/>
  <c r="J3" i="9"/>
  <c r="D3" i="9"/>
  <c r="C189" i="8"/>
  <c r="O189" i="8" s="1"/>
  <c r="Q189" i="8" s="1"/>
  <c r="N185" i="8"/>
  <c r="M185" i="8"/>
  <c r="L185" i="8"/>
  <c r="K185" i="8"/>
  <c r="J185" i="8"/>
  <c r="I185" i="8"/>
  <c r="H185" i="8"/>
  <c r="G185" i="8"/>
  <c r="F185" i="8"/>
  <c r="E185" i="8"/>
  <c r="D185" i="8"/>
  <c r="C185" i="8"/>
  <c r="O185" i="8" s="1"/>
  <c r="N184" i="8"/>
  <c r="M184" i="8"/>
  <c r="L184" i="8"/>
  <c r="K184" i="8"/>
  <c r="J184" i="8"/>
  <c r="I184" i="8"/>
  <c r="H184" i="8"/>
  <c r="G184" i="8"/>
  <c r="F184" i="8"/>
  <c r="E184" i="8"/>
  <c r="D184" i="8"/>
  <c r="C184" i="8"/>
  <c r="O183" i="8"/>
  <c r="O180" i="8"/>
  <c r="N175" i="8"/>
  <c r="M175" i="8"/>
  <c r="L175" i="8"/>
  <c r="K175" i="8"/>
  <c r="J175" i="8"/>
  <c r="I175" i="8"/>
  <c r="H175" i="8"/>
  <c r="G175" i="8"/>
  <c r="F175" i="8"/>
  <c r="E175" i="8"/>
  <c r="D175" i="8"/>
  <c r="C175" i="8"/>
  <c r="J152" i="8"/>
  <c r="E152" i="8"/>
  <c r="O152" i="8" s="1"/>
  <c r="C150" i="8"/>
  <c r="O150" i="8" s="1"/>
  <c r="Q150" i="8" s="1"/>
  <c r="C149" i="8"/>
  <c r="N146" i="8"/>
  <c r="M146" i="8"/>
  <c r="L146" i="8"/>
  <c r="K146" i="8"/>
  <c r="J146" i="8"/>
  <c r="I146" i="8"/>
  <c r="H146" i="8"/>
  <c r="G146" i="8"/>
  <c r="F146" i="8"/>
  <c r="E146" i="8"/>
  <c r="D146" i="8"/>
  <c r="C146" i="8"/>
  <c r="N145" i="8"/>
  <c r="M145" i="8"/>
  <c r="L145" i="8"/>
  <c r="K145" i="8"/>
  <c r="J145" i="8"/>
  <c r="I145" i="8"/>
  <c r="H145" i="8"/>
  <c r="G145" i="8"/>
  <c r="F145" i="8"/>
  <c r="E145" i="8"/>
  <c r="D145" i="8"/>
  <c r="C145" i="8"/>
  <c r="O144" i="8"/>
  <c r="O141" i="8"/>
  <c r="O133" i="8"/>
  <c r="N133" i="8"/>
  <c r="M133" i="8"/>
  <c r="L133" i="8"/>
  <c r="K133" i="8"/>
  <c r="J133" i="8"/>
  <c r="I133" i="8"/>
  <c r="H133" i="8"/>
  <c r="G133" i="8"/>
  <c r="F133" i="8"/>
  <c r="E133" i="8"/>
  <c r="D133" i="8"/>
  <c r="C133" i="8"/>
  <c r="L111" i="8"/>
  <c r="H111" i="8"/>
  <c r="D111" i="8"/>
  <c r="C109" i="8"/>
  <c r="O109" i="8" s="1"/>
  <c r="Q109" i="8" s="1"/>
  <c r="C108" i="8"/>
  <c r="N105" i="8"/>
  <c r="M105" i="8"/>
  <c r="L105" i="8"/>
  <c r="K105" i="8"/>
  <c r="J105" i="8"/>
  <c r="I105" i="8"/>
  <c r="H105" i="8"/>
  <c r="G105" i="8"/>
  <c r="F105" i="8"/>
  <c r="E105" i="8"/>
  <c r="D105" i="8"/>
  <c r="C105" i="8"/>
  <c r="N104" i="8"/>
  <c r="M104" i="8"/>
  <c r="L104" i="8"/>
  <c r="K104" i="8"/>
  <c r="J104" i="8"/>
  <c r="I104" i="8"/>
  <c r="H104" i="8"/>
  <c r="G104" i="8"/>
  <c r="F104" i="8"/>
  <c r="E104" i="8"/>
  <c r="D104" i="8"/>
  <c r="C104" i="8"/>
  <c r="O104" i="8" s="1"/>
  <c r="O103" i="8"/>
  <c r="O100" i="8"/>
  <c r="C95" i="8"/>
  <c r="O92" i="8"/>
  <c r="N92" i="8"/>
  <c r="M92" i="8"/>
  <c r="L92" i="8"/>
  <c r="K92" i="8"/>
  <c r="J92" i="8"/>
  <c r="I92" i="8"/>
  <c r="G92" i="8"/>
  <c r="F92" i="8"/>
  <c r="E92" i="8"/>
  <c r="D92" i="8"/>
  <c r="C92" i="8"/>
  <c r="H91" i="8"/>
  <c r="H92" i="8" s="1"/>
  <c r="M69" i="8"/>
  <c r="L69" i="8"/>
  <c r="J69" i="8"/>
  <c r="I69" i="8"/>
  <c r="G69" i="8"/>
  <c r="F69" i="8"/>
  <c r="D69" i="8"/>
  <c r="C69" i="8"/>
  <c r="N68" i="8"/>
  <c r="M68" i="8"/>
  <c r="L68" i="8"/>
  <c r="K68" i="8"/>
  <c r="J68" i="8"/>
  <c r="I68" i="8"/>
  <c r="H68" i="8"/>
  <c r="G68" i="8"/>
  <c r="F68" i="8"/>
  <c r="E68" i="8"/>
  <c r="D68" i="8"/>
  <c r="C68" i="8"/>
  <c r="N67" i="8"/>
  <c r="M67" i="8"/>
  <c r="L67" i="8"/>
  <c r="K67" i="8"/>
  <c r="J67" i="8"/>
  <c r="I67" i="8"/>
  <c r="H67" i="8"/>
  <c r="G67" i="8"/>
  <c r="F67" i="8"/>
  <c r="E67" i="8"/>
  <c r="D67" i="8"/>
  <c r="C67" i="8"/>
  <c r="N63" i="8"/>
  <c r="M63" i="8"/>
  <c r="L63" i="8"/>
  <c r="K63" i="8"/>
  <c r="J63" i="8"/>
  <c r="I63" i="8"/>
  <c r="H63" i="8"/>
  <c r="G63" i="8"/>
  <c r="F63" i="8"/>
  <c r="E63" i="8"/>
  <c r="D63" i="8"/>
  <c r="C63" i="8"/>
  <c r="N61" i="8"/>
  <c r="M61" i="8"/>
  <c r="L61" i="8"/>
  <c r="J61" i="8"/>
  <c r="I61" i="8"/>
  <c r="G61" i="8"/>
  <c r="F61" i="8"/>
  <c r="D61" i="8"/>
  <c r="C61" i="8"/>
  <c r="O60" i="8"/>
  <c r="C57" i="8"/>
  <c r="N56" i="8"/>
  <c r="M56" i="8"/>
  <c r="L56" i="8"/>
  <c r="K56" i="8"/>
  <c r="J56" i="8"/>
  <c r="I56" i="8"/>
  <c r="H56" i="8"/>
  <c r="G56" i="8"/>
  <c r="F56" i="8"/>
  <c r="E56" i="8"/>
  <c r="D56" i="8"/>
  <c r="C56" i="8"/>
  <c r="N55" i="8"/>
  <c r="M55" i="8"/>
  <c r="L55" i="8"/>
  <c r="K55" i="8"/>
  <c r="J55" i="8"/>
  <c r="I55" i="8"/>
  <c r="H55" i="8"/>
  <c r="G55" i="8"/>
  <c r="F55" i="8"/>
  <c r="E55" i="8"/>
  <c r="D55" i="8"/>
  <c r="D58" i="8" s="1"/>
  <c r="C55" i="8"/>
  <c r="M28" i="8"/>
  <c r="L28" i="8"/>
  <c r="J28" i="8"/>
  <c r="I28" i="8"/>
  <c r="G28" i="8"/>
  <c r="F28" i="8"/>
  <c r="D28" i="8"/>
  <c r="C28" i="8"/>
  <c r="N27" i="8"/>
  <c r="M27" i="8"/>
  <c r="L27" i="8"/>
  <c r="K27" i="8"/>
  <c r="J27" i="8"/>
  <c r="I27" i="8"/>
  <c r="H27" i="8"/>
  <c r="G27" i="8"/>
  <c r="F27" i="8"/>
  <c r="E27" i="8"/>
  <c r="D27" i="8"/>
  <c r="C27" i="8"/>
  <c r="N26" i="8"/>
  <c r="M26" i="8"/>
  <c r="L26" i="8"/>
  <c r="K26" i="8"/>
  <c r="J26" i="8"/>
  <c r="I26" i="8"/>
  <c r="H26" i="8"/>
  <c r="G26" i="8"/>
  <c r="F26" i="8"/>
  <c r="E26" i="8"/>
  <c r="D26" i="8"/>
  <c r="C26" i="8"/>
  <c r="N25" i="8"/>
  <c r="M25" i="8"/>
  <c r="L25" i="8"/>
  <c r="K25" i="8"/>
  <c r="J25" i="8"/>
  <c r="I25" i="8"/>
  <c r="H25" i="8"/>
  <c r="G25" i="8"/>
  <c r="F25" i="8"/>
  <c r="E25" i="8"/>
  <c r="D25" i="8"/>
  <c r="C25" i="8"/>
  <c r="N24" i="8"/>
  <c r="M24" i="8"/>
  <c r="L24" i="8"/>
  <c r="K24" i="8"/>
  <c r="J24" i="8"/>
  <c r="I24" i="8"/>
  <c r="H24" i="8"/>
  <c r="G24" i="8"/>
  <c r="F24" i="8"/>
  <c r="E24" i="8"/>
  <c r="D24" i="8"/>
  <c r="C24" i="8"/>
  <c r="N23" i="8"/>
  <c r="M23" i="8"/>
  <c r="L23" i="8"/>
  <c r="K23" i="8"/>
  <c r="J23" i="8"/>
  <c r="I23" i="8"/>
  <c r="H23" i="8"/>
  <c r="G23" i="8"/>
  <c r="F23" i="8"/>
  <c r="E23" i="8"/>
  <c r="D23" i="8"/>
  <c r="C23" i="8"/>
  <c r="N22" i="8"/>
  <c r="M22" i="8"/>
  <c r="L22" i="8"/>
  <c r="K22" i="8"/>
  <c r="J22" i="8"/>
  <c r="I22" i="8"/>
  <c r="H22" i="8"/>
  <c r="G22" i="8"/>
  <c r="F22" i="8"/>
  <c r="E22" i="8"/>
  <c r="D22" i="8"/>
  <c r="C22" i="8"/>
  <c r="N21" i="8"/>
  <c r="M21" i="8"/>
  <c r="L21" i="8"/>
  <c r="K21" i="8"/>
  <c r="J21" i="8"/>
  <c r="I21" i="8"/>
  <c r="H21" i="8"/>
  <c r="G21" i="8"/>
  <c r="F21" i="8"/>
  <c r="E21" i="8"/>
  <c r="D21" i="8"/>
  <c r="C21" i="8"/>
  <c r="N20" i="8"/>
  <c r="M20" i="8"/>
  <c r="L20" i="8"/>
  <c r="J20" i="8"/>
  <c r="I20" i="8"/>
  <c r="H20" i="8"/>
  <c r="G20" i="8"/>
  <c r="F20" i="8"/>
  <c r="E20" i="8"/>
  <c r="D20" i="8"/>
  <c r="C20" i="8"/>
  <c r="O19" i="8"/>
  <c r="K17" i="8"/>
  <c r="J17" i="8"/>
  <c r="N16" i="8"/>
  <c r="M16" i="8"/>
  <c r="L16" i="8"/>
  <c r="K16" i="8"/>
  <c r="J16" i="8"/>
  <c r="I16" i="8"/>
  <c r="H16" i="8"/>
  <c r="G16" i="8"/>
  <c r="F16" i="8"/>
  <c r="E16" i="8"/>
  <c r="D16" i="8"/>
  <c r="C16" i="8"/>
  <c r="N15" i="8"/>
  <c r="M15" i="8"/>
  <c r="L15" i="8"/>
  <c r="K15" i="8"/>
  <c r="J15" i="8"/>
  <c r="I15" i="8"/>
  <c r="H15" i="8"/>
  <c r="G15" i="8"/>
  <c r="F15" i="8"/>
  <c r="E15" i="8"/>
  <c r="D15" i="8"/>
  <c r="C15" i="8"/>
  <c r="N14" i="8"/>
  <c r="M14" i="8"/>
  <c r="M17" i="8" s="1"/>
  <c r="L14" i="8"/>
  <c r="K14" i="8"/>
  <c r="J14" i="8"/>
  <c r="I14" i="8"/>
  <c r="I17" i="8" s="1"/>
  <c r="H14" i="8"/>
  <c r="G14" i="8"/>
  <c r="F14" i="8"/>
  <c r="E14" i="8"/>
  <c r="E17" i="8" s="1"/>
  <c r="D14" i="8"/>
  <c r="C14" i="8"/>
  <c r="C17" i="8" s="1"/>
  <c r="N202" i="7"/>
  <c r="N190" i="8" s="1"/>
  <c r="K202" i="7"/>
  <c r="K190" i="8" s="1"/>
  <c r="E202" i="7"/>
  <c r="E190" i="8" s="1"/>
  <c r="O201" i="7"/>
  <c r="Q201" i="7" s="1"/>
  <c r="O197" i="7"/>
  <c r="O196" i="7"/>
  <c r="O195" i="7"/>
  <c r="J195" i="7" s="1"/>
  <c r="J183" i="8" s="1"/>
  <c r="K195" i="7"/>
  <c r="K183" i="8" s="1"/>
  <c r="G195" i="7"/>
  <c r="G183" i="8" s="1"/>
  <c r="F195" i="7"/>
  <c r="F183" i="8" s="1"/>
  <c r="N194" i="7"/>
  <c r="N182" i="8" s="1"/>
  <c r="M194" i="7"/>
  <c r="M182" i="8" s="1"/>
  <c r="L194" i="7"/>
  <c r="L182" i="8" s="1"/>
  <c r="K194" i="7"/>
  <c r="K182" i="8" s="1"/>
  <c r="J194" i="7"/>
  <c r="J182" i="8" s="1"/>
  <c r="I194" i="7"/>
  <c r="I182" i="8" s="1"/>
  <c r="H194" i="7"/>
  <c r="H182" i="8" s="1"/>
  <c r="G194" i="7"/>
  <c r="G182" i="8" s="1"/>
  <c r="F194" i="7"/>
  <c r="F182" i="8" s="1"/>
  <c r="E194" i="7"/>
  <c r="E182" i="8" s="1"/>
  <c r="D194" i="7"/>
  <c r="D182" i="8" s="1"/>
  <c r="C194" i="7"/>
  <c r="N193" i="7"/>
  <c r="N181" i="8" s="1"/>
  <c r="K193" i="7"/>
  <c r="K181" i="8" s="1"/>
  <c r="H193" i="7"/>
  <c r="H181" i="8" s="1"/>
  <c r="E193" i="7"/>
  <c r="E181" i="8" s="1"/>
  <c r="O192" i="7"/>
  <c r="N192" i="7"/>
  <c r="N180" i="8" s="1"/>
  <c r="M192" i="7"/>
  <c r="M180" i="8" s="1"/>
  <c r="L192" i="7"/>
  <c r="L180" i="8" s="1"/>
  <c r="K192" i="7"/>
  <c r="K180" i="8" s="1"/>
  <c r="J192" i="7"/>
  <c r="J180" i="8" s="1"/>
  <c r="I192" i="7"/>
  <c r="I180" i="8" s="1"/>
  <c r="H192" i="7"/>
  <c r="H180" i="8" s="1"/>
  <c r="G192" i="7"/>
  <c r="G180" i="8" s="1"/>
  <c r="F192" i="7"/>
  <c r="F180" i="8" s="1"/>
  <c r="E192" i="7"/>
  <c r="E180" i="8" s="1"/>
  <c r="D192" i="7"/>
  <c r="D180" i="8" s="1"/>
  <c r="C192" i="7"/>
  <c r="C180" i="8" s="1"/>
  <c r="C189" i="7"/>
  <c r="C177" i="8" s="1"/>
  <c r="O187" i="7"/>
  <c r="O158" i="7"/>
  <c r="N157" i="7"/>
  <c r="N151" i="8" s="1"/>
  <c r="K157" i="7"/>
  <c r="K151" i="8" s="1"/>
  <c r="H157" i="7"/>
  <c r="H151" i="8" s="1"/>
  <c r="E157" i="7"/>
  <c r="E151" i="8" s="1"/>
  <c r="O156" i="7"/>
  <c r="Q156" i="7" s="1"/>
  <c r="E155" i="7"/>
  <c r="F155" i="7" s="1"/>
  <c r="D155" i="7"/>
  <c r="D149" i="8" s="1"/>
  <c r="O152" i="7"/>
  <c r="O151" i="7"/>
  <c r="O150" i="7"/>
  <c r="G150" i="7" s="1"/>
  <c r="G144" i="8" s="1"/>
  <c r="N149" i="7"/>
  <c r="N143" i="8" s="1"/>
  <c r="M149" i="7"/>
  <c r="M143" i="8" s="1"/>
  <c r="L149" i="7"/>
  <c r="L143" i="8" s="1"/>
  <c r="K149" i="7"/>
  <c r="K143" i="8" s="1"/>
  <c r="J149" i="7"/>
  <c r="J143" i="8" s="1"/>
  <c r="I149" i="7"/>
  <c r="I143" i="8" s="1"/>
  <c r="H149" i="7"/>
  <c r="H143" i="8" s="1"/>
  <c r="G149" i="7"/>
  <c r="G143" i="8" s="1"/>
  <c r="F149" i="7"/>
  <c r="F143" i="8" s="1"/>
  <c r="E149" i="7"/>
  <c r="E143" i="8" s="1"/>
  <c r="D149" i="7"/>
  <c r="D143" i="8" s="1"/>
  <c r="C149" i="7"/>
  <c r="C143" i="8" s="1"/>
  <c r="N148" i="7"/>
  <c r="N142" i="8" s="1"/>
  <c r="K148" i="7"/>
  <c r="K142" i="8" s="1"/>
  <c r="E148" i="7"/>
  <c r="E142" i="8" s="1"/>
  <c r="O147" i="7"/>
  <c r="K147" i="7" s="1"/>
  <c r="K141" i="8" s="1"/>
  <c r="N147" i="7"/>
  <c r="N141" i="8" s="1"/>
  <c r="G147" i="7"/>
  <c r="G141" i="8" s="1"/>
  <c r="F147" i="7"/>
  <c r="F141" i="8" s="1"/>
  <c r="C147" i="7"/>
  <c r="C141" i="8" s="1"/>
  <c r="C144" i="7"/>
  <c r="C138" i="8" s="1"/>
  <c r="D142" i="7"/>
  <c r="C142" i="7"/>
  <c r="N139" i="7"/>
  <c r="M139" i="7"/>
  <c r="L139" i="7"/>
  <c r="K139" i="7"/>
  <c r="J139" i="7"/>
  <c r="I139" i="7"/>
  <c r="H139" i="7"/>
  <c r="G139" i="7"/>
  <c r="F139" i="7"/>
  <c r="E139" i="7"/>
  <c r="D139" i="7"/>
  <c r="C139" i="7"/>
  <c r="O119" i="7"/>
  <c r="N118" i="7"/>
  <c r="N110" i="8" s="1"/>
  <c r="K118" i="7"/>
  <c r="K110" i="8" s="1"/>
  <c r="H118" i="7"/>
  <c r="H110" i="8" s="1"/>
  <c r="E118" i="7"/>
  <c r="O117" i="7"/>
  <c r="Q117" i="7" s="1"/>
  <c r="D116" i="7"/>
  <c r="E116" i="7" s="1"/>
  <c r="F116" i="7" s="1"/>
  <c r="F108" i="8" s="1"/>
  <c r="O113" i="7"/>
  <c r="O112" i="7"/>
  <c r="O111" i="7"/>
  <c r="M111" i="7"/>
  <c r="M103" i="8" s="1"/>
  <c r="I111" i="7"/>
  <c r="I103" i="8" s="1"/>
  <c r="G111" i="7"/>
  <c r="G103" i="8" s="1"/>
  <c r="C111" i="7"/>
  <c r="C103" i="8" s="1"/>
  <c r="N110" i="7"/>
  <c r="N102" i="8" s="1"/>
  <c r="M110" i="7"/>
  <c r="M102" i="8" s="1"/>
  <c r="L110" i="7"/>
  <c r="L102" i="8" s="1"/>
  <c r="K110" i="7"/>
  <c r="K102" i="8" s="1"/>
  <c r="J110" i="7"/>
  <c r="J102" i="8" s="1"/>
  <c r="I110" i="7"/>
  <c r="I102" i="8" s="1"/>
  <c r="H110" i="7"/>
  <c r="H102" i="8" s="1"/>
  <c r="G110" i="7"/>
  <c r="G102" i="8" s="1"/>
  <c r="F110" i="7"/>
  <c r="F102" i="8" s="1"/>
  <c r="E110" i="7"/>
  <c r="E102" i="8" s="1"/>
  <c r="D110" i="7"/>
  <c r="D102" i="8" s="1"/>
  <c r="C110" i="7"/>
  <c r="C102" i="8" s="1"/>
  <c r="N109" i="7"/>
  <c r="N101" i="8" s="1"/>
  <c r="K109" i="7"/>
  <c r="K101" i="8" s="1"/>
  <c r="H109" i="7"/>
  <c r="H101" i="8" s="1"/>
  <c r="E109" i="7"/>
  <c r="E101" i="8" s="1"/>
  <c r="O108" i="7"/>
  <c r="N108" i="7" s="1"/>
  <c r="N100" i="8" s="1"/>
  <c r="K108" i="7"/>
  <c r="K100" i="8" s="1"/>
  <c r="G108" i="7"/>
  <c r="G100" i="8" s="1"/>
  <c r="C108" i="7"/>
  <c r="C100" i="8" s="1"/>
  <c r="C105" i="7"/>
  <c r="C104" i="7"/>
  <c r="C106" i="7" s="1"/>
  <c r="D103" i="7"/>
  <c r="E103" i="7" s="1"/>
  <c r="F103" i="7" s="1"/>
  <c r="N100" i="7"/>
  <c r="M100" i="7"/>
  <c r="L100" i="7"/>
  <c r="K100" i="7"/>
  <c r="J100" i="7"/>
  <c r="I100" i="7"/>
  <c r="H100" i="7"/>
  <c r="G100" i="7"/>
  <c r="F100" i="7"/>
  <c r="E100" i="7"/>
  <c r="D100" i="7"/>
  <c r="C100" i="7"/>
  <c r="O81" i="7"/>
  <c r="N81" i="7"/>
  <c r="M81" i="7"/>
  <c r="L81" i="7"/>
  <c r="K81" i="7"/>
  <c r="J81" i="7"/>
  <c r="I81" i="7"/>
  <c r="H81" i="7"/>
  <c r="G81" i="7"/>
  <c r="F81" i="7"/>
  <c r="E81" i="7"/>
  <c r="D81" i="7"/>
  <c r="C81" i="7"/>
  <c r="N71" i="7"/>
  <c r="N69" i="8" s="1"/>
  <c r="K71" i="7"/>
  <c r="K69" i="8" s="1"/>
  <c r="H71" i="7"/>
  <c r="H69" i="8" s="1"/>
  <c r="E71" i="7"/>
  <c r="E69" i="8" s="1"/>
  <c r="O70" i="7"/>
  <c r="Q70" i="7" s="1"/>
  <c r="O69" i="7"/>
  <c r="Q69" i="7" s="1"/>
  <c r="N68" i="7"/>
  <c r="C115" i="7" s="1"/>
  <c r="D115" i="7" s="1"/>
  <c r="M68" i="7"/>
  <c r="M66" i="8" s="1"/>
  <c r="L68" i="7"/>
  <c r="L66" i="8" s="1"/>
  <c r="K68" i="7"/>
  <c r="K66" i="8" s="1"/>
  <c r="J68" i="7"/>
  <c r="J66" i="8" s="1"/>
  <c r="I68" i="7"/>
  <c r="I66" i="8" s="1"/>
  <c r="H68" i="7"/>
  <c r="H66" i="8" s="1"/>
  <c r="G68" i="7"/>
  <c r="G66" i="8" s="1"/>
  <c r="F68" i="7"/>
  <c r="F66" i="8" s="1"/>
  <c r="E68" i="7"/>
  <c r="E66" i="8" s="1"/>
  <c r="D68" i="7"/>
  <c r="D66" i="8" s="1"/>
  <c r="C68" i="7"/>
  <c r="C66" i="8" s="1"/>
  <c r="C67" i="7"/>
  <c r="N66" i="7"/>
  <c r="N64" i="8" s="1"/>
  <c r="M66" i="7"/>
  <c r="M64" i="8" s="1"/>
  <c r="L66" i="7"/>
  <c r="L64" i="8" s="1"/>
  <c r="K66" i="7"/>
  <c r="K64" i="8" s="1"/>
  <c r="J66" i="7"/>
  <c r="J64" i="8" s="1"/>
  <c r="I66" i="7"/>
  <c r="I64" i="8" s="1"/>
  <c r="H66" i="7"/>
  <c r="H64" i="8" s="1"/>
  <c r="G66" i="7"/>
  <c r="G64" i="8" s="1"/>
  <c r="F66" i="7"/>
  <c r="F64" i="8" s="1"/>
  <c r="E66" i="7"/>
  <c r="E64" i="8" s="1"/>
  <c r="D66" i="7"/>
  <c r="D64" i="8" s="1"/>
  <c r="C66" i="7"/>
  <c r="C64" i="8" s="1"/>
  <c r="O65" i="7"/>
  <c r="N64" i="7"/>
  <c r="N62" i="8" s="1"/>
  <c r="M64" i="7"/>
  <c r="M62" i="8" s="1"/>
  <c r="L64" i="7"/>
  <c r="L62" i="8" s="1"/>
  <c r="K64" i="7"/>
  <c r="K62" i="8" s="1"/>
  <c r="J64" i="7"/>
  <c r="J62" i="8" s="1"/>
  <c r="I64" i="7"/>
  <c r="I62" i="8" s="1"/>
  <c r="H64" i="7"/>
  <c r="H62" i="8" s="1"/>
  <c r="G64" i="7"/>
  <c r="G62" i="8" s="1"/>
  <c r="F64" i="7"/>
  <c r="F62" i="8" s="1"/>
  <c r="E64" i="7"/>
  <c r="E62" i="8" s="1"/>
  <c r="D64" i="7"/>
  <c r="D62" i="8" s="1"/>
  <c r="C64" i="7"/>
  <c r="K63" i="7"/>
  <c r="K61" i="8" s="1"/>
  <c r="H63" i="7"/>
  <c r="E63" i="7"/>
  <c r="E61" i="8" s="1"/>
  <c r="O62" i="7"/>
  <c r="L62" i="7" s="1"/>
  <c r="L60" i="8" s="1"/>
  <c r="N62" i="7"/>
  <c r="N60" i="8" s="1"/>
  <c r="J62" i="7"/>
  <c r="J60" i="8" s="1"/>
  <c r="I62" i="7"/>
  <c r="I60" i="8" s="1"/>
  <c r="E62" i="7"/>
  <c r="E60" i="8" s="1"/>
  <c r="C62" i="7"/>
  <c r="C60" i="8" s="1"/>
  <c r="C60" i="7"/>
  <c r="D59" i="7"/>
  <c r="D57" i="8" s="1"/>
  <c r="Q58" i="7"/>
  <c r="O58" i="7"/>
  <c r="O57" i="7"/>
  <c r="N28" i="7"/>
  <c r="K28" i="7"/>
  <c r="J30" i="25" s="1"/>
  <c r="H28" i="7"/>
  <c r="G30" i="25" s="1"/>
  <c r="E28" i="7"/>
  <c r="O27" i="7"/>
  <c r="Q27" i="7" s="1"/>
  <c r="O26" i="7"/>
  <c r="Q26" i="7" s="1"/>
  <c r="O25" i="7"/>
  <c r="O24" i="7"/>
  <c r="Q24" i="7" s="1"/>
  <c r="O23" i="7"/>
  <c r="O22" i="7"/>
  <c r="O21" i="7"/>
  <c r="K20" i="7"/>
  <c r="O19" i="7"/>
  <c r="N19" i="7" s="1"/>
  <c r="N17" i="7"/>
  <c r="M17" i="7"/>
  <c r="L17" i="7"/>
  <c r="K17" i="7"/>
  <c r="J17" i="7"/>
  <c r="I17" i="7"/>
  <c r="H17" i="7"/>
  <c r="G17" i="7"/>
  <c r="F17" i="7"/>
  <c r="E17" i="7"/>
  <c r="D17" i="7"/>
  <c r="C17" i="7"/>
  <c r="O16" i="7"/>
  <c r="Q16" i="7" s="1"/>
  <c r="O15" i="7"/>
  <c r="Q15" i="7" s="1"/>
  <c r="O14" i="7"/>
  <c r="Q14" i="7" s="1"/>
  <c r="Q17" i="7" s="1"/>
  <c r="H17" i="6"/>
  <c r="D99" i="5"/>
  <c r="D98" i="5"/>
  <c r="D97" i="5"/>
  <c r="D96" i="5"/>
  <c r="D95" i="5"/>
  <c r="D94" i="5"/>
  <c r="D93" i="5"/>
  <c r="D92" i="5"/>
  <c r="D91" i="5"/>
  <c r="D89" i="5"/>
  <c r="D88" i="5"/>
  <c r="H87" i="5"/>
  <c r="G87" i="5"/>
  <c r="F87" i="5"/>
  <c r="E87" i="5"/>
  <c r="D87" i="5"/>
  <c r="H86" i="5"/>
  <c r="G86" i="5"/>
  <c r="F86" i="5"/>
  <c r="E86" i="5"/>
  <c r="D86" i="5"/>
  <c r="H84" i="5"/>
  <c r="G84" i="5"/>
  <c r="F84" i="5"/>
  <c r="E84" i="5"/>
  <c r="D84" i="5"/>
  <c r="H82" i="5"/>
  <c r="G82" i="5"/>
  <c r="E82" i="5"/>
  <c r="H81" i="5"/>
  <c r="G81" i="5"/>
  <c r="F81" i="5"/>
  <c r="E81" i="5"/>
  <c r="D81" i="5"/>
  <c r="H80" i="5"/>
  <c r="G80" i="5"/>
  <c r="F80" i="5"/>
  <c r="E80" i="5"/>
  <c r="D74" i="5"/>
  <c r="D73" i="5"/>
  <c r="D72" i="5"/>
  <c r="H66" i="5"/>
  <c r="G66" i="5"/>
  <c r="F66" i="5"/>
  <c r="E66" i="5"/>
  <c r="D66" i="5"/>
  <c r="H65" i="5"/>
  <c r="G65" i="5"/>
  <c r="F65" i="5"/>
  <c r="E65" i="5"/>
  <c r="D65" i="5"/>
  <c r="H64" i="5"/>
  <c r="G64" i="5"/>
  <c r="F64" i="5"/>
  <c r="E64" i="5"/>
  <c r="D64" i="5"/>
  <c r="H63" i="5"/>
  <c r="G63" i="5"/>
  <c r="F63" i="5"/>
  <c r="E63" i="5"/>
  <c r="D63" i="5"/>
  <c r="H62" i="5"/>
  <c r="G62" i="5"/>
  <c r="F62" i="5"/>
  <c r="E62" i="5"/>
  <c r="D62" i="5"/>
  <c r="H61" i="5"/>
  <c r="G61" i="5"/>
  <c r="F61" i="5"/>
  <c r="E61" i="5"/>
  <c r="D61" i="5"/>
  <c r="H60" i="5"/>
  <c r="G60" i="5"/>
  <c r="F60" i="5"/>
  <c r="E60" i="5"/>
  <c r="D60" i="5"/>
  <c r="H59" i="5"/>
  <c r="G59" i="5"/>
  <c r="F59" i="5"/>
  <c r="E59" i="5"/>
  <c r="D59" i="5"/>
  <c r="H58" i="5"/>
  <c r="G58" i="5"/>
  <c r="F58" i="5"/>
  <c r="E58" i="5"/>
  <c r="D58" i="5"/>
  <c r="G57" i="5"/>
  <c r="H56" i="5"/>
  <c r="G56" i="5"/>
  <c r="F56" i="5"/>
  <c r="E56" i="5"/>
  <c r="D56" i="5"/>
  <c r="H55" i="5"/>
  <c r="G55" i="5"/>
  <c r="F55" i="5"/>
  <c r="E55" i="5"/>
  <c r="D55" i="5"/>
  <c r="H54" i="5"/>
  <c r="G54" i="5"/>
  <c r="F54" i="5"/>
  <c r="E54" i="5"/>
  <c r="D54" i="5"/>
  <c r="H53" i="5"/>
  <c r="G53" i="5"/>
  <c r="F53" i="5"/>
  <c r="E53" i="5"/>
  <c r="D53" i="5"/>
  <c r="H51" i="5"/>
  <c r="G51" i="5"/>
  <c r="F51" i="5"/>
  <c r="E51" i="5"/>
  <c r="D51" i="5"/>
  <c r="H48" i="5"/>
  <c r="G48" i="5"/>
  <c r="F48" i="5"/>
  <c r="E48" i="5"/>
  <c r="D48" i="5"/>
  <c r="E47" i="5"/>
  <c r="H41" i="5"/>
  <c r="G41" i="5"/>
  <c r="F41" i="5"/>
  <c r="E41" i="5"/>
  <c r="D41" i="5"/>
  <c r="H40" i="5"/>
  <c r="G40" i="5"/>
  <c r="F40" i="5"/>
  <c r="E40" i="5"/>
  <c r="D40" i="5"/>
  <c r="E39" i="5"/>
  <c r="D39" i="5"/>
  <c r="D24" i="5"/>
  <c r="K16" i="5"/>
  <c r="F15" i="5"/>
  <c r="F49" i="5" s="1"/>
  <c r="E15" i="5"/>
  <c r="D15" i="5"/>
  <c r="D82" i="5" s="1"/>
  <c r="D13" i="5"/>
  <c r="D80" i="5" s="1"/>
  <c r="J7" i="5"/>
  <c r="H43" i="4"/>
  <c r="F43" i="4"/>
  <c r="E43" i="4"/>
  <c r="D43" i="4"/>
  <c r="C43" i="4"/>
  <c r="B43" i="4"/>
  <c r="H42" i="4"/>
  <c r="F42" i="4"/>
  <c r="E42" i="4"/>
  <c r="D42" i="4"/>
  <c r="C42" i="4"/>
  <c r="B42" i="4"/>
  <c r="H41" i="4"/>
  <c r="F41" i="4"/>
  <c r="E41" i="4"/>
  <c r="D41" i="4"/>
  <c r="C41" i="4"/>
  <c r="B41" i="4"/>
  <c r="H40" i="4"/>
  <c r="F40" i="4"/>
  <c r="E40" i="4"/>
  <c r="D40" i="4"/>
  <c r="C40" i="4"/>
  <c r="B40" i="4"/>
  <c r="H39" i="4"/>
  <c r="B39" i="4"/>
  <c r="H33" i="4"/>
  <c r="F33" i="4"/>
  <c r="E33" i="4"/>
  <c r="D33" i="4"/>
  <c r="C33" i="4"/>
  <c r="B33" i="4"/>
  <c r="H32" i="4"/>
  <c r="F32" i="4"/>
  <c r="E32" i="4"/>
  <c r="D32" i="4"/>
  <c r="C32" i="4"/>
  <c r="B32" i="4"/>
  <c r="H31" i="4"/>
  <c r="F31" i="4"/>
  <c r="E31" i="4"/>
  <c r="D31" i="4"/>
  <c r="C31" i="4"/>
  <c r="B31" i="4"/>
  <c r="H30" i="4"/>
  <c r="F30" i="4"/>
  <c r="E30" i="4"/>
  <c r="D30" i="4"/>
  <c r="C30" i="4"/>
  <c r="C34" i="4" s="1"/>
  <c r="B30" i="4"/>
  <c r="H24" i="4"/>
  <c r="F24" i="4"/>
  <c r="E24" i="4"/>
  <c r="D24" i="4"/>
  <c r="C24" i="4"/>
  <c r="B24" i="4"/>
  <c r="H23" i="4"/>
  <c r="F23" i="4"/>
  <c r="E23" i="4"/>
  <c r="D23" i="4"/>
  <c r="C23" i="4"/>
  <c r="B23" i="4"/>
  <c r="H22" i="4"/>
  <c r="F22" i="4"/>
  <c r="E22" i="4"/>
  <c r="D22" i="4"/>
  <c r="C22" i="4"/>
  <c r="B22" i="4"/>
  <c r="H21" i="4"/>
  <c r="F21" i="4"/>
  <c r="E21" i="4"/>
  <c r="D21" i="4"/>
  <c r="C21" i="4"/>
  <c r="B21" i="4"/>
  <c r="H20" i="4"/>
  <c r="F20" i="4"/>
  <c r="E20" i="4"/>
  <c r="D20" i="4"/>
  <c r="C20" i="4"/>
  <c r="B20" i="4"/>
  <c r="H19" i="4"/>
  <c r="B19" i="4"/>
  <c r="H18" i="4"/>
  <c r="B18" i="4"/>
  <c r="H17" i="4"/>
  <c r="B17" i="4"/>
  <c r="H16" i="4"/>
  <c r="F16" i="4"/>
  <c r="E16" i="4"/>
  <c r="D16" i="4"/>
  <c r="C16" i="4"/>
  <c r="B16" i="4"/>
  <c r="H15" i="4"/>
  <c r="F15" i="4"/>
  <c r="E15" i="4"/>
  <c r="D15" i="4"/>
  <c r="C15" i="4"/>
  <c r="B15" i="4"/>
  <c r="H14" i="4"/>
  <c r="F14" i="4"/>
  <c r="E14" i="4"/>
  <c r="D14" i="4"/>
  <c r="C14" i="4"/>
  <c r="B14" i="4"/>
  <c r="H13" i="4"/>
  <c r="F13" i="4"/>
  <c r="E13" i="4"/>
  <c r="D13" i="4"/>
  <c r="C13" i="4"/>
  <c r="B13" i="4"/>
  <c r="H7" i="4"/>
  <c r="F7" i="4"/>
  <c r="E7" i="4"/>
  <c r="D7" i="4"/>
  <c r="C7" i="4"/>
  <c r="B7" i="4"/>
  <c r="H6" i="4"/>
  <c r="F6" i="4"/>
  <c r="E6" i="4"/>
  <c r="D6" i="4"/>
  <c r="C6" i="4"/>
  <c r="B6" i="4"/>
  <c r="H5" i="4"/>
  <c r="F5" i="4"/>
  <c r="E5" i="4"/>
  <c r="D5" i="4"/>
  <c r="C5" i="4"/>
  <c r="B5" i="4"/>
  <c r="H4" i="4"/>
  <c r="F4" i="4"/>
  <c r="E4" i="4"/>
  <c r="E8" i="4" s="1"/>
  <c r="D4" i="4"/>
  <c r="C4" i="4"/>
  <c r="B4" i="4"/>
  <c r="M43" i="3"/>
  <c r="J43" i="3"/>
  <c r="H43" i="3"/>
  <c r="F43" i="3"/>
  <c r="D43" i="3"/>
  <c r="B43" i="3"/>
  <c r="M42" i="3"/>
  <c r="J42" i="3"/>
  <c r="H42" i="3"/>
  <c r="F42" i="3"/>
  <c r="D42" i="3"/>
  <c r="B42" i="3"/>
  <c r="M41" i="3"/>
  <c r="J41" i="3"/>
  <c r="H41" i="3"/>
  <c r="F41" i="3"/>
  <c r="D41" i="3"/>
  <c r="B41" i="3"/>
  <c r="M40" i="3"/>
  <c r="J40" i="3"/>
  <c r="H40" i="3"/>
  <c r="F40" i="3"/>
  <c r="D40" i="3"/>
  <c r="B40" i="3"/>
  <c r="M39" i="3"/>
  <c r="B39" i="3"/>
  <c r="D39" i="3" s="1"/>
  <c r="M33" i="3"/>
  <c r="J33" i="3"/>
  <c r="H33" i="3"/>
  <c r="F33" i="3"/>
  <c r="D33" i="3"/>
  <c r="B33" i="3"/>
  <c r="M32" i="3"/>
  <c r="J32" i="3"/>
  <c r="H32" i="3"/>
  <c r="F32" i="3"/>
  <c r="D32" i="3"/>
  <c r="B32" i="3"/>
  <c r="M31" i="3"/>
  <c r="J31" i="3"/>
  <c r="H31" i="3"/>
  <c r="F31" i="3"/>
  <c r="D31" i="3"/>
  <c r="B31" i="3"/>
  <c r="M30" i="3"/>
  <c r="J30" i="3"/>
  <c r="K30" i="3" s="1"/>
  <c r="H30" i="3"/>
  <c r="I30" i="3" s="1"/>
  <c r="F30" i="3"/>
  <c r="D30" i="3"/>
  <c r="B30" i="3"/>
  <c r="N24" i="3"/>
  <c r="M24" i="3"/>
  <c r="J24" i="3"/>
  <c r="H24" i="3"/>
  <c r="F24" i="3"/>
  <c r="D24" i="3"/>
  <c r="B24" i="3"/>
  <c r="M23" i="3"/>
  <c r="J23" i="3"/>
  <c r="H23" i="3"/>
  <c r="F23" i="3"/>
  <c r="D23" i="3"/>
  <c r="B23" i="3"/>
  <c r="M22" i="3"/>
  <c r="J22" i="3"/>
  <c r="H22" i="3"/>
  <c r="F22" i="3"/>
  <c r="D22" i="3"/>
  <c r="B22" i="3"/>
  <c r="M21" i="3"/>
  <c r="J21" i="3"/>
  <c r="H21" i="3"/>
  <c r="F21" i="3"/>
  <c r="D21" i="3"/>
  <c r="B21" i="3"/>
  <c r="M20" i="3"/>
  <c r="J20" i="3"/>
  <c r="H20" i="3"/>
  <c r="F20" i="3"/>
  <c r="D20" i="3"/>
  <c r="B20" i="3"/>
  <c r="M19" i="3"/>
  <c r="B19" i="3"/>
  <c r="M18" i="3"/>
  <c r="B18" i="3"/>
  <c r="M17" i="3"/>
  <c r="B17" i="3"/>
  <c r="M16" i="3"/>
  <c r="J16" i="3"/>
  <c r="H16" i="3"/>
  <c r="F16" i="3"/>
  <c r="D16" i="3"/>
  <c r="B16" i="3"/>
  <c r="M15" i="3"/>
  <c r="J15" i="3"/>
  <c r="H15" i="3"/>
  <c r="F15" i="3"/>
  <c r="D15" i="3"/>
  <c r="B15" i="3"/>
  <c r="M14" i="3"/>
  <c r="J14" i="3"/>
  <c r="H14" i="3"/>
  <c r="F14" i="3"/>
  <c r="D14" i="3"/>
  <c r="B14" i="3"/>
  <c r="M13" i="3"/>
  <c r="J13" i="3"/>
  <c r="H13" i="3"/>
  <c r="F13" i="3"/>
  <c r="D13" i="3"/>
  <c r="B13" i="3"/>
  <c r="M7" i="3"/>
  <c r="J7" i="3"/>
  <c r="H7" i="3"/>
  <c r="F7" i="3"/>
  <c r="D7" i="3"/>
  <c r="B7" i="3"/>
  <c r="M6" i="3"/>
  <c r="J6" i="3"/>
  <c r="H6" i="3"/>
  <c r="I6" i="3" s="1"/>
  <c r="F6" i="3"/>
  <c r="D6" i="3"/>
  <c r="B6" i="3"/>
  <c r="C6" i="3" s="1"/>
  <c r="M5" i="3"/>
  <c r="J5" i="3"/>
  <c r="H5" i="3"/>
  <c r="F5" i="3"/>
  <c r="D5" i="3"/>
  <c r="B5" i="3"/>
  <c r="M4" i="3"/>
  <c r="J4" i="3"/>
  <c r="H4" i="3"/>
  <c r="F4" i="3"/>
  <c r="D4" i="3"/>
  <c r="B4" i="3"/>
  <c r="AT44" i="2"/>
  <c r="AS44" i="2"/>
  <c r="AR44" i="2"/>
  <c r="AQ44" i="2"/>
  <c r="AP44" i="2"/>
  <c r="AO44" i="2"/>
  <c r="AN44" i="2"/>
  <c r="AM44" i="2"/>
  <c r="AK44" i="2"/>
  <c r="AJ44" i="2"/>
  <c r="AI44" i="2"/>
  <c r="AH44" i="2"/>
  <c r="AG44" i="2"/>
  <c r="AF44" i="2"/>
  <c r="AE44" i="2"/>
  <c r="AD44" i="2"/>
  <c r="AB44" i="2"/>
  <c r="AA44" i="2"/>
  <c r="Z44" i="2"/>
  <c r="Y44" i="2"/>
  <c r="X44" i="2"/>
  <c r="W44" i="2"/>
  <c r="V44" i="2"/>
  <c r="U44" i="2"/>
  <c r="S44" i="2"/>
  <c r="R44" i="2"/>
  <c r="Q44" i="2"/>
  <c r="P44" i="2"/>
  <c r="O44" i="2"/>
  <c r="N44" i="2"/>
  <c r="M44" i="2"/>
  <c r="L44" i="2"/>
  <c r="J44" i="2"/>
  <c r="I44" i="2"/>
  <c r="H44" i="2"/>
  <c r="G44" i="2"/>
  <c r="F44" i="2"/>
  <c r="E44" i="2"/>
  <c r="D44" i="2"/>
  <c r="C44" i="2"/>
  <c r="AW43" i="2"/>
  <c r="AL43" i="2"/>
  <c r="AC43" i="2"/>
  <c r="T43" i="2"/>
  <c r="K43" i="2"/>
  <c r="B43" i="2"/>
  <c r="AW42" i="2"/>
  <c r="AL42" i="2"/>
  <c r="AC42" i="2"/>
  <c r="T42" i="2"/>
  <c r="K42" i="2"/>
  <c r="B42" i="2"/>
  <c r="AW41" i="2"/>
  <c r="AL41" i="2"/>
  <c r="AC41" i="2"/>
  <c r="T41" i="2"/>
  <c r="K41" i="2"/>
  <c r="B41" i="2"/>
  <c r="AX40" i="2"/>
  <c r="AW40" i="2"/>
  <c r="AL40" i="2"/>
  <c r="AC40" i="2"/>
  <c r="T40" i="2"/>
  <c r="T44" i="2" s="1"/>
  <c r="K40" i="2"/>
  <c r="B40" i="2"/>
  <c r="AW39" i="2"/>
  <c r="B39" i="2"/>
  <c r="AT34" i="2"/>
  <c r="AS34" i="2"/>
  <c r="AR34" i="2"/>
  <c r="AQ34" i="2"/>
  <c r="AP34" i="2"/>
  <c r="AO34" i="2"/>
  <c r="AN34" i="2"/>
  <c r="AM34" i="2"/>
  <c r="AK34" i="2"/>
  <c r="AJ34" i="2"/>
  <c r="AI34" i="2"/>
  <c r="AH34" i="2"/>
  <c r="AG34" i="2"/>
  <c r="AF34" i="2"/>
  <c r="AE34" i="2"/>
  <c r="AD34" i="2"/>
  <c r="AB34" i="2"/>
  <c r="AA34" i="2"/>
  <c r="Z34" i="2"/>
  <c r="Y34" i="2"/>
  <c r="X34" i="2"/>
  <c r="W34" i="2"/>
  <c r="W49" i="2" s="1"/>
  <c r="W51" i="2" s="1"/>
  <c r="F12" i="5" s="1"/>
  <c r="F79" i="5" s="1"/>
  <c r="V34" i="2"/>
  <c r="U34" i="2"/>
  <c r="S34" i="2"/>
  <c r="R34" i="2"/>
  <c r="Q34" i="2"/>
  <c r="P34" i="2"/>
  <c r="O34" i="2"/>
  <c r="N34" i="2"/>
  <c r="M34" i="2"/>
  <c r="L34" i="2"/>
  <c r="J34" i="2"/>
  <c r="I34" i="2"/>
  <c r="H34" i="2"/>
  <c r="G34" i="2"/>
  <c r="F34" i="2"/>
  <c r="E34" i="2"/>
  <c r="D34" i="2"/>
  <c r="C34" i="2"/>
  <c r="AW33" i="2"/>
  <c r="AL33" i="2"/>
  <c r="AC33" i="2"/>
  <c r="T33" i="2"/>
  <c r="K33" i="2"/>
  <c r="B33" i="2"/>
  <c r="AW32" i="2"/>
  <c r="AL32" i="2"/>
  <c r="AC32" i="2"/>
  <c r="T32" i="2"/>
  <c r="K32" i="2"/>
  <c r="B32" i="2"/>
  <c r="AW31" i="2"/>
  <c r="AL31" i="2"/>
  <c r="AC31" i="2"/>
  <c r="T31" i="2"/>
  <c r="K31" i="2"/>
  <c r="B31" i="2"/>
  <c r="AW30" i="2"/>
  <c r="AL30" i="2"/>
  <c r="AL34" i="2" s="1"/>
  <c r="AC30" i="2"/>
  <c r="T30" i="2"/>
  <c r="K30" i="2"/>
  <c r="B30" i="2"/>
  <c r="B34" i="2" s="1"/>
  <c r="AT25" i="2"/>
  <c r="AS25" i="2"/>
  <c r="AR25" i="2"/>
  <c r="AQ25" i="2"/>
  <c r="AP25" i="2"/>
  <c r="AO25" i="2"/>
  <c r="AN25" i="2"/>
  <c r="AM25" i="2"/>
  <c r="AM49" i="2" s="1"/>
  <c r="AM51" i="2" s="1"/>
  <c r="H8" i="5" s="1"/>
  <c r="AK25" i="2"/>
  <c r="AJ25" i="2"/>
  <c r="AI25" i="2"/>
  <c r="AH25" i="2"/>
  <c r="AG25" i="2"/>
  <c r="AF25" i="2"/>
  <c r="AE25" i="2"/>
  <c r="AD25" i="2"/>
  <c r="AB25" i="2"/>
  <c r="AA25" i="2"/>
  <c r="AA49" i="2" s="1"/>
  <c r="AA51" i="2" s="1"/>
  <c r="F19" i="5" s="1"/>
  <c r="F85" i="5" s="1"/>
  <c r="Z25" i="2"/>
  <c r="Y25" i="2"/>
  <c r="X25" i="2"/>
  <c r="W25" i="2"/>
  <c r="V25" i="2"/>
  <c r="U25" i="2"/>
  <c r="S25" i="2"/>
  <c r="R25" i="2"/>
  <c r="Q25" i="2"/>
  <c r="P25" i="2"/>
  <c r="O25" i="2"/>
  <c r="N25" i="2"/>
  <c r="M25" i="2"/>
  <c r="L25" i="2"/>
  <c r="J25" i="2"/>
  <c r="I25" i="2"/>
  <c r="H25" i="2"/>
  <c r="G25" i="2"/>
  <c r="F25" i="2"/>
  <c r="E25" i="2"/>
  <c r="D25" i="2"/>
  <c r="C25" i="2"/>
  <c r="C49" i="2" s="1"/>
  <c r="C51" i="2" s="1"/>
  <c r="D8" i="5" s="1"/>
  <c r="D42" i="5" s="1"/>
  <c r="AW24" i="2"/>
  <c r="AL24" i="2"/>
  <c r="AC24" i="2"/>
  <c r="T24" i="2"/>
  <c r="K24" i="2"/>
  <c r="B24" i="2"/>
  <c r="AX23" i="2"/>
  <c r="AW23" i="2"/>
  <c r="AL23" i="2"/>
  <c r="AC23" i="2"/>
  <c r="T23" i="2"/>
  <c r="K23" i="2"/>
  <c r="B23" i="2"/>
  <c r="AW22" i="2"/>
  <c r="AL22" i="2"/>
  <c r="AC22" i="2"/>
  <c r="T22" i="2"/>
  <c r="K22" i="2"/>
  <c r="B22" i="2"/>
  <c r="AW21" i="2"/>
  <c r="AL21" i="2"/>
  <c r="AC21" i="2"/>
  <c r="T21" i="2"/>
  <c r="K21" i="2"/>
  <c r="B21" i="2"/>
  <c r="AX20" i="2"/>
  <c r="AW20" i="2"/>
  <c r="AL20" i="2"/>
  <c r="AC20" i="2"/>
  <c r="T20" i="2"/>
  <c r="K20" i="2"/>
  <c r="B20" i="2"/>
  <c r="AW19" i="2"/>
  <c r="K19" i="2"/>
  <c r="B19" i="2"/>
  <c r="AW18" i="2"/>
  <c r="B18" i="2"/>
  <c r="AW17" i="2"/>
  <c r="B17" i="2"/>
  <c r="AW16" i="2"/>
  <c r="AL16" i="2"/>
  <c r="AC16" i="2"/>
  <c r="T16" i="2"/>
  <c r="K16" i="2"/>
  <c r="B16" i="2"/>
  <c r="AW15" i="2"/>
  <c r="AL15" i="2"/>
  <c r="AC15" i="2"/>
  <c r="T15" i="2"/>
  <c r="K15" i="2"/>
  <c r="B15" i="2"/>
  <c r="AW14" i="2"/>
  <c r="AL14" i="2"/>
  <c r="AC14" i="2"/>
  <c r="T14" i="2"/>
  <c r="K14" i="2"/>
  <c r="B14" i="2"/>
  <c r="AW13" i="2"/>
  <c r="AL13" i="2"/>
  <c r="AC13" i="2"/>
  <c r="T13" i="2"/>
  <c r="K13" i="2"/>
  <c r="B13" i="2"/>
  <c r="AT8" i="2"/>
  <c r="AS8" i="2"/>
  <c r="AR8" i="2"/>
  <c r="AQ8" i="2"/>
  <c r="AP8" i="2"/>
  <c r="AO8" i="2"/>
  <c r="AN8" i="2"/>
  <c r="AM8" i="2"/>
  <c r="AK8" i="2"/>
  <c r="AJ8" i="2"/>
  <c r="AI8" i="2"/>
  <c r="AI49" i="2" s="1"/>
  <c r="AI51" i="2" s="1"/>
  <c r="G17" i="5" s="1"/>
  <c r="G83" i="5" s="1"/>
  <c r="AH8" i="2"/>
  <c r="AG8" i="2"/>
  <c r="AF8" i="2"/>
  <c r="AE8" i="2"/>
  <c r="AE49" i="2" s="1"/>
  <c r="AE51" i="2" s="1"/>
  <c r="G10" i="5" s="1"/>
  <c r="G77" i="5" s="1"/>
  <c r="AD8" i="2"/>
  <c r="AB8" i="2"/>
  <c r="AA8" i="2"/>
  <c r="Z8" i="2"/>
  <c r="Y8" i="2"/>
  <c r="X8" i="2"/>
  <c r="X49" i="2" s="1"/>
  <c r="X51" i="2" s="1"/>
  <c r="F16" i="5" s="1"/>
  <c r="W8" i="2"/>
  <c r="V8" i="2"/>
  <c r="U8" i="2"/>
  <c r="S8" i="2"/>
  <c r="R8" i="2"/>
  <c r="Q8" i="2"/>
  <c r="P8" i="2"/>
  <c r="O8" i="2"/>
  <c r="O49" i="2" s="1"/>
  <c r="O51" i="2" s="1"/>
  <c r="E16" i="5" s="1"/>
  <c r="N8" i="2"/>
  <c r="M8" i="2"/>
  <c r="L8" i="2"/>
  <c r="J8" i="2"/>
  <c r="I8" i="2"/>
  <c r="H8" i="2"/>
  <c r="G8" i="2"/>
  <c r="F8" i="2"/>
  <c r="F49" i="2" s="1"/>
  <c r="F51" i="2" s="1"/>
  <c r="D16" i="5" s="1"/>
  <c r="E8" i="2"/>
  <c r="D8" i="2"/>
  <c r="C8" i="2"/>
  <c r="AW7" i="2"/>
  <c r="AL7" i="2"/>
  <c r="AC7" i="2"/>
  <c r="T7" i="2"/>
  <c r="K7" i="2"/>
  <c r="B7" i="2"/>
  <c r="AW6" i="2"/>
  <c r="AL6" i="2"/>
  <c r="AC6" i="2"/>
  <c r="T6" i="2"/>
  <c r="B6" i="2"/>
  <c r="AW5" i="2"/>
  <c r="AL5" i="2"/>
  <c r="AC5" i="2"/>
  <c r="AC8" i="2" s="1"/>
  <c r="T5" i="2"/>
  <c r="T8" i="2" s="1"/>
  <c r="K5" i="2"/>
  <c r="B5" i="2"/>
  <c r="AW4" i="2"/>
  <c r="AL4" i="2"/>
  <c r="AC4" i="2"/>
  <c r="T4" i="2"/>
  <c r="K4" i="2"/>
  <c r="B4" i="2"/>
  <c r="I47" i="1"/>
  <c r="I40" i="1"/>
  <c r="F40" i="1"/>
  <c r="E40" i="1"/>
  <c r="D40" i="1"/>
  <c r="C40" i="1"/>
  <c r="B40" i="1"/>
  <c r="J39" i="1"/>
  <c r="J38" i="1"/>
  <c r="I42" i="4" s="1"/>
  <c r="J37" i="1"/>
  <c r="J36" i="1"/>
  <c r="I40" i="4" s="1"/>
  <c r="J35" i="1"/>
  <c r="I31" i="1"/>
  <c r="F31" i="1"/>
  <c r="E31" i="1"/>
  <c r="D31" i="1"/>
  <c r="C31" i="1"/>
  <c r="B31" i="1"/>
  <c r="J30" i="1"/>
  <c r="J29" i="1"/>
  <c r="AX32" i="2" s="1"/>
  <c r="J28" i="1"/>
  <c r="J27" i="1"/>
  <c r="N30" i="3" s="1"/>
  <c r="I23" i="1"/>
  <c r="B23" i="1"/>
  <c r="J22" i="1"/>
  <c r="I24" i="4" s="1"/>
  <c r="J21" i="1"/>
  <c r="I23" i="4" s="1"/>
  <c r="J20" i="1"/>
  <c r="I22" i="4" s="1"/>
  <c r="J19" i="1"/>
  <c r="I21" i="4" s="1"/>
  <c r="J18" i="1"/>
  <c r="N20" i="3" s="1"/>
  <c r="J17" i="1"/>
  <c r="I19" i="4" s="1"/>
  <c r="C17" i="1"/>
  <c r="D17" i="1" s="1"/>
  <c r="J16" i="1"/>
  <c r="I18" i="4" s="1"/>
  <c r="C16" i="1"/>
  <c r="C18" i="4" s="1"/>
  <c r="J15" i="1"/>
  <c r="C15" i="1"/>
  <c r="J14" i="1"/>
  <c r="J13" i="1"/>
  <c r="I15" i="4" s="1"/>
  <c r="J12" i="1"/>
  <c r="I14" i="4" s="1"/>
  <c r="J11" i="1"/>
  <c r="I7" i="1"/>
  <c r="F7" i="1"/>
  <c r="E7" i="1"/>
  <c r="D7" i="1"/>
  <c r="C7" i="1"/>
  <c r="B7" i="1"/>
  <c r="J6" i="1"/>
  <c r="I7" i="4" s="1"/>
  <c r="J5" i="1"/>
  <c r="N6" i="3" s="1"/>
  <c r="J4" i="1"/>
  <c r="AX5" i="2" s="1"/>
  <c r="J3" i="1"/>
  <c r="I4" i="4" s="1"/>
  <c r="I16" i="4" l="1"/>
  <c r="AX16" i="2"/>
  <c r="N16" i="3"/>
  <c r="I43" i="4"/>
  <c r="AX43" i="2"/>
  <c r="N43" i="3"/>
  <c r="I39" i="4"/>
  <c r="N39" i="3"/>
  <c r="AX39" i="2"/>
  <c r="AQ49" i="2"/>
  <c r="AQ51" i="2" s="1"/>
  <c r="H9" i="5" s="1"/>
  <c r="H76" i="5" s="1"/>
  <c r="DF7" i="10"/>
  <c r="AL7" i="10"/>
  <c r="AT7" i="10"/>
  <c r="N7" i="10"/>
  <c r="CX7" i="10"/>
  <c r="BZ7" i="10"/>
  <c r="AS28" i="16"/>
  <c r="AS22" i="16"/>
  <c r="G49" i="2"/>
  <c r="G51" i="2" s="1"/>
  <c r="D9" i="5" s="1"/>
  <c r="S49" i="2"/>
  <c r="S51" i="2" s="1"/>
  <c r="E11" i="5" s="1"/>
  <c r="E78" i="5" s="1"/>
  <c r="D8" i="3"/>
  <c r="K6" i="3"/>
  <c r="C30" i="3"/>
  <c r="N40" i="3"/>
  <c r="E40" i="3" s="1"/>
  <c r="G43" i="3"/>
  <c r="D108" i="8"/>
  <c r="AD18" i="13"/>
  <c r="BN14" i="16"/>
  <c r="BM14" i="16"/>
  <c r="K182" i="7" s="1"/>
  <c r="BA14" i="16"/>
  <c r="K135" i="7" s="1"/>
  <c r="K129" i="8" s="1"/>
  <c r="AL14" i="16"/>
  <c r="H96" i="7" s="1"/>
  <c r="H88" i="8" s="1"/>
  <c r="AK14" i="16"/>
  <c r="G96" i="7" s="1"/>
  <c r="G88" i="8" s="1"/>
  <c r="BB14" i="16"/>
  <c r="L135" i="7" s="1"/>
  <c r="H15" i="18"/>
  <c r="L15" i="18"/>
  <c r="P15" i="18"/>
  <c r="T15" i="18"/>
  <c r="X15" i="18"/>
  <c r="AB15" i="18"/>
  <c r="AF15" i="18"/>
  <c r="AJ15" i="18"/>
  <c r="AN15" i="18"/>
  <c r="AR15" i="18"/>
  <c r="AV15" i="18"/>
  <c r="AZ15" i="18"/>
  <c r="BD15" i="18"/>
  <c r="BH15" i="18"/>
  <c r="BL15" i="18"/>
  <c r="Z15" i="18"/>
  <c r="AC12" i="21"/>
  <c r="O13" i="21"/>
  <c r="AU13" i="21"/>
  <c r="BS14" i="21"/>
  <c r="U14" i="21"/>
  <c r="AE14" i="21"/>
  <c r="AR14" i="21"/>
  <c r="BG14" i="21"/>
  <c r="E16" i="3"/>
  <c r="L49" i="2"/>
  <c r="L51" i="2" s="1"/>
  <c r="E8" i="5" s="1"/>
  <c r="B8" i="2"/>
  <c r="AX6" i="2"/>
  <c r="H49" i="2"/>
  <c r="H51" i="2" s="1"/>
  <c r="D17" i="5" s="1"/>
  <c r="AX19" i="2"/>
  <c r="B44" i="2"/>
  <c r="N49" i="2"/>
  <c r="N51" i="2" s="1"/>
  <c r="E12" i="5" s="1"/>
  <c r="E79" i="5" s="1"/>
  <c r="AO49" i="2"/>
  <c r="AO51" i="2" s="1"/>
  <c r="H12" i="5" s="1"/>
  <c r="H79" i="5" s="1"/>
  <c r="E6" i="3"/>
  <c r="I16" i="3"/>
  <c r="E20" i="3"/>
  <c r="I40" i="3"/>
  <c r="N42" i="3"/>
  <c r="C42" i="3" s="1"/>
  <c r="I43" i="3"/>
  <c r="F8" i="4"/>
  <c r="C19" i="4"/>
  <c r="I20" i="4"/>
  <c r="D34" i="4"/>
  <c r="I30" i="4"/>
  <c r="H47" i="5"/>
  <c r="F82" i="5"/>
  <c r="F19" i="7"/>
  <c r="E21" i="25" s="1"/>
  <c r="J22" i="25"/>
  <c r="K20" i="8"/>
  <c r="O64" i="7"/>
  <c r="D108" i="7"/>
  <c r="D100" i="8" s="1"/>
  <c r="H108" i="7"/>
  <c r="H100" i="8" s="1"/>
  <c r="L108" i="7"/>
  <c r="L100" i="8" s="1"/>
  <c r="O102" i="8"/>
  <c r="L111" i="7"/>
  <c r="L103" i="8" s="1"/>
  <c r="N111" i="7"/>
  <c r="N103" i="8" s="1"/>
  <c r="G116" i="7"/>
  <c r="D95" i="8"/>
  <c r="E108" i="8"/>
  <c r="O111" i="8"/>
  <c r="Y20" i="9"/>
  <c r="P31" i="9" s="1"/>
  <c r="H9" i="10"/>
  <c r="I6" i="10"/>
  <c r="AP14" i="16"/>
  <c r="L96" i="7" s="1"/>
  <c r="L88" i="8" s="1"/>
  <c r="BF14" i="16"/>
  <c r="D182" i="7" s="1"/>
  <c r="J29" i="16"/>
  <c r="I15" i="18"/>
  <c r="M15" i="18"/>
  <c r="Q15" i="18"/>
  <c r="U15" i="18"/>
  <c r="Y15" i="18"/>
  <c r="AC15" i="18"/>
  <c r="AG15" i="18"/>
  <c r="AK15" i="18"/>
  <c r="AO15" i="18"/>
  <c r="AS15" i="18"/>
  <c r="AW15" i="18"/>
  <c r="BA15" i="18"/>
  <c r="BE15" i="18"/>
  <c r="BI15" i="18"/>
  <c r="BM15" i="18"/>
  <c r="AN16" i="18"/>
  <c r="AP15" i="18"/>
  <c r="BM12" i="21"/>
  <c r="AK12" i="21"/>
  <c r="BQ12" i="21"/>
  <c r="W13" i="21"/>
  <c r="BC13" i="21"/>
  <c r="W14" i="21"/>
  <c r="BM14" i="21"/>
  <c r="BI12" i="21"/>
  <c r="AY14" i="21"/>
  <c r="P49" i="2"/>
  <c r="P51" i="2" s="1"/>
  <c r="E9" i="5" s="1"/>
  <c r="E76" i="5" s="1"/>
  <c r="D49" i="2"/>
  <c r="D51" i="2" s="1"/>
  <c r="D10" i="5" s="1"/>
  <c r="D44" i="5" s="1"/>
  <c r="AW25" i="2"/>
  <c r="AX30" i="2"/>
  <c r="AL44" i="2"/>
  <c r="E49" i="2"/>
  <c r="E51" i="2" s="1"/>
  <c r="D12" i="5" s="1"/>
  <c r="AJ49" i="2"/>
  <c r="AJ51" i="2" s="1"/>
  <c r="G19" i="5" s="1"/>
  <c r="G85" i="5" s="1"/>
  <c r="AS49" i="2"/>
  <c r="AS51" i="2" s="1"/>
  <c r="H19" i="5" s="1"/>
  <c r="H85" i="5" s="1"/>
  <c r="AX15" i="2"/>
  <c r="AX24" i="2"/>
  <c r="AC34" i="2"/>
  <c r="J49" i="2"/>
  <c r="J51" i="2" s="1"/>
  <c r="D11" i="5" s="1"/>
  <c r="G6" i="3"/>
  <c r="C16" i="3"/>
  <c r="D19" i="3"/>
  <c r="K40" i="3"/>
  <c r="I42" i="3"/>
  <c r="C43" i="3"/>
  <c r="G19" i="7"/>
  <c r="F21" i="25" s="1"/>
  <c r="F62" i="7"/>
  <c r="F60" i="8" s="1"/>
  <c r="K62" i="7"/>
  <c r="K60" i="8" s="1"/>
  <c r="D67" i="7"/>
  <c r="D65" i="8" s="1"/>
  <c r="C65" i="8"/>
  <c r="D105" i="7"/>
  <c r="C97" i="8"/>
  <c r="E108" i="7"/>
  <c r="E100" i="8" s="1"/>
  <c r="I108" i="7"/>
  <c r="I100" i="8" s="1"/>
  <c r="M108" i="7"/>
  <c r="M100" i="8" s="1"/>
  <c r="E111" i="7"/>
  <c r="E103" i="8" s="1"/>
  <c r="J111" i="7"/>
  <c r="J103" i="8" s="1"/>
  <c r="D150" i="7"/>
  <c r="D144" i="8" s="1"/>
  <c r="C195" i="7"/>
  <c r="C183" i="8" s="1"/>
  <c r="N195" i="7"/>
  <c r="N183" i="8" s="1"/>
  <c r="F17" i="8"/>
  <c r="N17" i="8"/>
  <c r="C62" i="8"/>
  <c r="Q22" i="16"/>
  <c r="AW22" i="16"/>
  <c r="S14" i="16"/>
  <c r="M9" i="7" s="1"/>
  <c r="L10" i="25" s="1"/>
  <c r="AV14" i="16"/>
  <c r="F135" i="7" s="1"/>
  <c r="F129" i="8" s="1"/>
  <c r="BL14" i="16"/>
  <c r="J182" i="7" s="1"/>
  <c r="AX22" i="16"/>
  <c r="Q28" i="16"/>
  <c r="N15" i="18"/>
  <c r="R15" i="18"/>
  <c r="V15" i="18"/>
  <c r="AD15" i="18"/>
  <c r="AH15" i="18"/>
  <c r="AL15" i="18"/>
  <c r="AT15" i="18"/>
  <c r="AX15" i="18"/>
  <c r="BB15" i="18"/>
  <c r="BJ15" i="18"/>
  <c r="BN15" i="18"/>
  <c r="BF15" i="18"/>
  <c r="AE13" i="21"/>
  <c r="BK13" i="21"/>
  <c r="O14" i="21"/>
  <c r="Z14" i="21"/>
  <c r="AK14" i="21"/>
  <c r="E3" i="22"/>
  <c r="C36" i="13" s="1"/>
  <c r="E36" i="13" s="1"/>
  <c r="N21" i="25"/>
  <c r="H148" i="7"/>
  <c r="H142" i="8" s="1"/>
  <c r="E6" i="22"/>
  <c r="C39" i="13" s="1"/>
  <c r="E39" i="13" s="1"/>
  <c r="E43" i="3"/>
  <c r="B8" i="4"/>
  <c r="I6" i="4"/>
  <c r="B25" i="4"/>
  <c r="G49" i="5"/>
  <c r="D60" i="7"/>
  <c r="G62" i="7"/>
  <c r="G60" i="8" s="1"/>
  <c r="M62" i="7"/>
  <c r="M60" i="8" s="1"/>
  <c r="O63" i="7"/>
  <c r="F108" i="7"/>
  <c r="F100" i="8" s="1"/>
  <c r="J108" i="7"/>
  <c r="J100" i="8" s="1"/>
  <c r="F111" i="7"/>
  <c r="F103" i="8" s="1"/>
  <c r="K111" i="7"/>
  <c r="K103" i="8" s="1"/>
  <c r="L150" i="7"/>
  <c r="L144" i="8" s="1"/>
  <c r="O190" i="8"/>
  <c r="Q190" i="8" s="1"/>
  <c r="D6" i="9"/>
  <c r="AL22" i="16"/>
  <c r="AL28" i="16"/>
  <c r="AT28" i="16"/>
  <c r="AT22" i="16"/>
  <c r="BB22" i="16"/>
  <c r="BN28" i="16"/>
  <c r="BN22" i="16"/>
  <c r="AG14" i="16"/>
  <c r="C96" i="7" s="1"/>
  <c r="C88" i="8" s="1"/>
  <c r="AW14" i="16"/>
  <c r="G135" i="7" s="1"/>
  <c r="G129" i="8" s="1"/>
  <c r="U22" i="16"/>
  <c r="BI22" i="16"/>
  <c r="U12" i="21"/>
  <c r="BA12" i="21"/>
  <c r="AM13" i="21"/>
  <c r="BS13" i="21"/>
  <c r="AN14" i="21"/>
  <c r="BC14" i="21"/>
  <c r="K17" i="18"/>
  <c r="O17" i="18"/>
  <c r="S17" i="18"/>
  <c r="W17" i="18"/>
  <c r="AA17" i="18"/>
  <c r="AE17" i="18"/>
  <c r="AI17" i="18"/>
  <c r="AM17" i="18"/>
  <c r="AQ17" i="18"/>
  <c r="AU17" i="18"/>
  <c r="AY17" i="18"/>
  <c r="BC17" i="18"/>
  <c r="BG17" i="18"/>
  <c r="BK17" i="18"/>
  <c r="BO17" i="18"/>
  <c r="Y4" i="21"/>
  <c r="Y12" i="21" s="1"/>
  <c r="AO4" i="21"/>
  <c r="AO12" i="21" s="1"/>
  <c r="BE4" i="21"/>
  <c r="BE12" i="21" s="1"/>
  <c r="R5" i="21"/>
  <c r="R13" i="21" s="1"/>
  <c r="Z5" i="21"/>
  <c r="Z13" i="21" s="1"/>
  <c r="AH5" i="21"/>
  <c r="AH13" i="21" s="1"/>
  <c r="AP5" i="21"/>
  <c r="AP13" i="21" s="1"/>
  <c r="AX5" i="21"/>
  <c r="AX13" i="21" s="1"/>
  <c r="BF5" i="21"/>
  <c r="BF13" i="21" s="1"/>
  <c r="BN5" i="21"/>
  <c r="BN13" i="21" s="1"/>
  <c r="Q6" i="21"/>
  <c r="Q14" i="21" s="1"/>
  <c r="V6" i="21"/>
  <c r="V14" i="21" s="1"/>
  <c r="AA6" i="21"/>
  <c r="AA14" i="21" s="1"/>
  <c r="AG6" i="21"/>
  <c r="AG14" i="21" s="1"/>
  <c r="AM6" i="21"/>
  <c r="AM14" i="21" s="1"/>
  <c r="AS6" i="21"/>
  <c r="AS14" i="21" s="1"/>
  <c r="BA6" i="21"/>
  <c r="BA14" i="21" s="1"/>
  <c r="BH6" i="21"/>
  <c r="BH14" i="21" s="1"/>
  <c r="BO6" i="21"/>
  <c r="O118" i="7"/>
  <c r="Q118" i="7" s="1"/>
  <c r="O15" i="8"/>
  <c r="Q15" i="8" s="1"/>
  <c r="G17" i="8"/>
  <c r="O16" i="8"/>
  <c r="Q16" i="8" s="1"/>
  <c r="O20" i="8"/>
  <c r="O23" i="8"/>
  <c r="O24" i="8"/>
  <c r="Q24" i="8" s="1"/>
  <c r="O25" i="8"/>
  <c r="O26" i="8"/>
  <c r="Q26" i="8" s="1"/>
  <c r="C58" i="8"/>
  <c r="O68" i="8"/>
  <c r="Q68" i="8" s="1"/>
  <c r="E110" i="8"/>
  <c r="O110" i="8" s="1"/>
  <c r="Q110" i="8" s="1"/>
  <c r="O145" i="8"/>
  <c r="O146" i="8"/>
  <c r="D19" i="9"/>
  <c r="B31" i="9" s="1"/>
  <c r="T14" i="16"/>
  <c r="N9" i="7" s="1"/>
  <c r="BJ17" i="18"/>
  <c r="U17" i="18"/>
  <c r="AK17" i="18"/>
  <c r="BA17" i="18"/>
  <c r="M12" i="21"/>
  <c r="AS12" i="21"/>
  <c r="BQ13" i="21"/>
  <c r="S5" i="21"/>
  <c r="S13" i="21" s="1"/>
  <c r="AA5" i="21"/>
  <c r="AA13" i="21" s="1"/>
  <c r="AI5" i="21"/>
  <c r="AI13" i="21" s="1"/>
  <c r="AQ5" i="21"/>
  <c r="AQ13" i="21" s="1"/>
  <c r="AY5" i="21"/>
  <c r="AY13" i="21" s="1"/>
  <c r="BG5" i="21"/>
  <c r="BG13" i="21" s="1"/>
  <c r="BO5" i="21"/>
  <c r="BO13" i="21" s="1"/>
  <c r="M14" i="21"/>
  <c r="R14" i="21"/>
  <c r="AC14" i="21"/>
  <c r="AH14" i="21"/>
  <c r="AV14" i="21"/>
  <c r="BI6" i="21"/>
  <c r="BI14" i="21" s="1"/>
  <c r="BQ6" i="21"/>
  <c r="BQ14" i="21" s="1"/>
  <c r="K15" i="18"/>
  <c r="O15" i="18"/>
  <c r="S15" i="18"/>
  <c r="W15" i="18"/>
  <c r="AA15" i="18"/>
  <c r="AE15" i="18"/>
  <c r="AI15" i="18"/>
  <c r="AM15" i="18"/>
  <c r="AQ15" i="18"/>
  <c r="AU15" i="18"/>
  <c r="AY15" i="18"/>
  <c r="BC15" i="18"/>
  <c r="BG15" i="18"/>
  <c r="BK15" i="18"/>
  <c r="BO15" i="18"/>
  <c r="Q4" i="21"/>
  <c r="Q12" i="21" s="1"/>
  <c r="AG4" i="21"/>
  <c r="AG12" i="21" s="1"/>
  <c r="AW4" i="21"/>
  <c r="AW12" i="21" s="1"/>
  <c r="N5" i="21"/>
  <c r="N13" i="21" s="1"/>
  <c r="V5" i="21"/>
  <c r="V13" i="21" s="1"/>
  <c r="AD5" i="21"/>
  <c r="AD13" i="21" s="1"/>
  <c r="AL5" i="21"/>
  <c r="AL13" i="21" s="1"/>
  <c r="AT5" i="21"/>
  <c r="AT13" i="21" s="1"/>
  <c r="BB5" i="21"/>
  <c r="BB13" i="21" s="1"/>
  <c r="BJ5" i="21"/>
  <c r="BJ13" i="21" s="1"/>
  <c r="BR5" i="21"/>
  <c r="BR13" i="21" s="1"/>
  <c r="N6" i="21"/>
  <c r="N14" i="21" s="1"/>
  <c r="S6" i="21"/>
  <c r="S14" i="21" s="1"/>
  <c r="Y6" i="21"/>
  <c r="Y14" i="21" s="1"/>
  <c r="AD6" i="21"/>
  <c r="AD14" i="21" s="1"/>
  <c r="AI6" i="21"/>
  <c r="AI14" i="21" s="1"/>
  <c r="AQ6" i="21"/>
  <c r="AQ14" i="21" s="1"/>
  <c r="AW6" i="21"/>
  <c r="AW14" i="21" s="1"/>
  <c r="BD6" i="21"/>
  <c r="BD14" i="21" s="1"/>
  <c r="BL6" i="21"/>
  <c r="BL14" i="21" s="1"/>
  <c r="B17" i="23"/>
  <c r="N17" i="23"/>
  <c r="R17" i="23"/>
  <c r="N17" i="24"/>
  <c r="M19" i="25"/>
  <c r="H75" i="5"/>
  <c r="E42" i="5"/>
  <c r="D75" i="5"/>
  <c r="E75" i="5"/>
  <c r="D46" i="5"/>
  <c r="D79" i="5"/>
  <c r="E46" i="5"/>
  <c r="D76" i="5"/>
  <c r="E43" i="5"/>
  <c r="D43" i="5"/>
  <c r="C17" i="4"/>
  <c r="C25" i="4" s="1"/>
  <c r="D17" i="3"/>
  <c r="K17" i="2"/>
  <c r="D15" i="1"/>
  <c r="C23" i="1"/>
  <c r="C44" i="1" s="1"/>
  <c r="D107" i="8"/>
  <c r="E115" i="7"/>
  <c r="N7" i="3"/>
  <c r="G7" i="3" s="1"/>
  <c r="AX7" i="2"/>
  <c r="D19" i="4"/>
  <c r="F19" i="3"/>
  <c r="T19" i="2"/>
  <c r="AX21" i="2"/>
  <c r="N21" i="3"/>
  <c r="G21" i="3" s="1"/>
  <c r="N31" i="3"/>
  <c r="I31" i="3" s="1"/>
  <c r="I31" i="4"/>
  <c r="AX31" i="2"/>
  <c r="J31" i="1"/>
  <c r="AW8" i="2"/>
  <c r="AG49" i="2"/>
  <c r="AG51" i="2" s="1"/>
  <c r="G16" i="5" s="1"/>
  <c r="AP49" i="2"/>
  <c r="AP51" i="2" s="1"/>
  <c r="H16" i="5" s="1"/>
  <c r="D78" i="5"/>
  <c r="E45" i="5"/>
  <c r="D45" i="5"/>
  <c r="J8" i="3"/>
  <c r="I21" i="3"/>
  <c r="I24" i="3"/>
  <c r="E17" i="1"/>
  <c r="AL8" i="2"/>
  <c r="D77" i="5"/>
  <c r="E44" i="5"/>
  <c r="M49" i="2"/>
  <c r="M51" i="2" s="1"/>
  <c r="E10" i="5" s="1"/>
  <c r="E77" i="5" s="1"/>
  <c r="U49" i="2"/>
  <c r="U51" i="2" s="1"/>
  <c r="F8" i="5" s="1"/>
  <c r="F42" i="5" s="1"/>
  <c r="AD49" i="2"/>
  <c r="AD51" i="2" s="1"/>
  <c r="G8" i="5" s="1"/>
  <c r="K34" i="2"/>
  <c r="AW34" i="2"/>
  <c r="AW44" i="2"/>
  <c r="AB49" i="2"/>
  <c r="AB51" i="2" s="1"/>
  <c r="F11" i="5" s="1"/>
  <c r="F78" i="5" s="1"/>
  <c r="AK49" i="2"/>
  <c r="AK51" i="2" s="1"/>
  <c r="G11" i="5" s="1"/>
  <c r="G78" i="5" s="1"/>
  <c r="AT49" i="2"/>
  <c r="AT51" i="2" s="1"/>
  <c r="H11" i="5" s="1"/>
  <c r="H78" i="5" s="1"/>
  <c r="I5" i="3"/>
  <c r="I20" i="3"/>
  <c r="C24" i="3"/>
  <c r="F95" i="8"/>
  <c r="F142" i="7"/>
  <c r="G103" i="7"/>
  <c r="O110" i="7"/>
  <c r="AX13" i="2"/>
  <c r="I13" i="4"/>
  <c r="J23" i="1"/>
  <c r="N13" i="3"/>
  <c r="E13" i="3" s="1"/>
  <c r="I41" i="4"/>
  <c r="N41" i="3"/>
  <c r="I41" i="3" s="1"/>
  <c r="AX41" i="2"/>
  <c r="J40" i="1"/>
  <c r="F34" i="3"/>
  <c r="G30" i="3"/>
  <c r="C8" i="4"/>
  <c r="M21" i="25"/>
  <c r="N19" i="8"/>
  <c r="F149" i="8"/>
  <c r="G155" i="7"/>
  <c r="C182" i="8"/>
  <c r="O182" i="8" s="1"/>
  <c r="O194" i="7"/>
  <c r="AX17" i="2"/>
  <c r="I17" i="4"/>
  <c r="N17" i="3"/>
  <c r="K8" i="2"/>
  <c r="K44" i="2"/>
  <c r="AF49" i="2"/>
  <c r="AF51" i="2" s="1"/>
  <c r="G12" i="5" s="1"/>
  <c r="G79" i="5" s="1"/>
  <c r="B8" i="3"/>
  <c r="J34" i="3"/>
  <c r="C107" i="8"/>
  <c r="B44" i="1"/>
  <c r="D50" i="5"/>
  <c r="D83" i="5"/>
  <c r="Q49" i="2"/>
  <c r="Q51" i="2" s="1"/>
  <c r="E17" i="5" s="1"/>
  <c r="E83" i="5" s="1"/>
  <c r="Y49" i="2"/>
  <c r="Y51" i="2" s="1"/>
  <c r="F9" i="5" s="1"/>
  <c r="F76" i="5" s="1"/>
  <c r="AH49" i="2"/>
  <c r="AH51" i="2" s="1"/>
  <c r="G9" i="5" s="1"/>
  <c r="G76" i="5" s="1"/>
  <c r="I44" i="1"/>
  <c r="I49" i="2"/>
  <c r="I51" i="2" s="1"/>
  <c r="D19" i="5" s="1"/>
  <c r="J8" i="5" s="1"/>
  <c r="J9" i="5" s="1"/>
  <c r="R49" i="2"/>
  <c r="R51" i="2" s="1"/>
  <c r="E19" i="5" s="1"/>
  <c r="E85" i="5" s="1"/>
  <c r="V49" i="2"/>
  <c r="V51" i="2" s="1"/>
  <c r="F10" i="5" s="1"/>
  <c r="F77" i="5" s="1"/>
  <c r="Z49" i="2"/>
  <c r="Z51" i="2" s="1"/>
  <c r="F17" i="5" s="1"/>
  <c r="F83" i="5" s="1"/>
  <c r="AN49" i="2"/>
  <c r="AN51" i="2" s="1"/>
  <c r="H10" i="5" s="1"/>
  <c r="H77" i="5" s="1"/>
  <c r="AR49" i="2"/>
  <c r="AR51" i="2" s="1"/>
  <c r="H17" i="5" s="1"/>
  <c r="H83" i="5" s="1"/>
  <c r="B25" i="2"/>
  <c r="B49" i="2" s="1"/>
  <c r="T34" i="2"/>
  <c r="AC44" i="2"/>
  <c r="F8" i="3"/>
  <c r="C20" i="3"/>
  <c r="E24" i="3"/>
  <c r="G31" i="3"/>
  <c r="D39" i="4"/>
  <c r="F39" i="3"/>
  <c r="D44" i="3"/>
  <c r="E39" i="3"/>
  <c r="D90" i="5"/>
  <c r="E57" i="5"/>
  <c r="H57" i="5"/>
  <c r="D57" i="5"/>
  <c r="F57" i="5"/>
  <c r="Q29" i="7"/>
  <c r="G108" i="8"/>
  <c r="H116" i="7"/>
  <c r="O69" i="8"/>
  <c r="Q69" i="8" s="1"/>
  <c r="I17" i="10"/>
  <c r="DT8" i="10"/>
  <c r="DL8" i="10"/>
  <c r="DD8" i="10"/>
  <c r="CV8" i="10"/>
  <c r="CN8" i="10"/>
  <c r="CF8" i="10"/>
  <c r="BX8" i="10"/>
  <c r="BP8" i="10"/>
  <c r="BH8" i="10"/>
  <c r="AZ8" i="10"/>
  <c r="AR8" i="10"/>
  <c r="AJ8" i="10"/>
  <c r="AB8" i="10"/>
  <c r="T8" i="10"/>
  <c r="L8" i="10"/>
  <c r="DZ8" i="10"/>
  <c r="DR8" i="10"/>
  <c r="DJ8" i="10"/>
  <c r="DB8" i="10"/>
  <c r="CT8" i="10"/>
  <c r="CL8" i="10"/>
  <c r="CD8" i="10"/>
  <c r="BV8" i="10"/>
  <c r="BN8" i="10"/>
  <c r="BF8" i="10"/>
  <c r="AX8" i="10"/>
  <c r="AP8" i="10"/>
  <c r="AH8" i="10"/>
  <c r="Z8" i="10"/>
  <c r="R8" i="10"/>
  <c r="K8" i="10"/>
  <c r="K17" i="10" s="1"/>
  <c r="DX8" i="10"/>
  <c r="DP8" i="10"/>
  <c r="DH8" i="10"/>
  <c r="CZ8" i="10"/>
  <c r="CR8" i="10"/>
  <c r="CJ8" i="10"/>
  <c r="CB8" i="10"/>
  <c r="BT8" i="10"/>
  <c r="BL8" i="10"/>
  <c r="BD8" i="10"/>
  <c r="AV8" i="10"/>
  <c r="AN8" i="10"/>
  <c r="AF8" i="10"/>
  <c r="X8" i="10"/>
  <c r="P8" i="10"/>
  <c r="J8" i="10"/>
  <c r="J17" i="10" s="1"/>
  <c r="DN8" i="10"/>
  <c r="CH8" i="10"/>
  <c r="BB8" i="10"/>
  <c r="V8" i="10"/>
  <c r="DF8" i="10"/>
  <c r="BZ8" i="10"/>
  <c r="AT8" i="10"/>
  <c r="N8" i="10"/>
  <c r="DV8" i="10"/>
  <c r="BJ8" i="10"/>
  <c r="CX8" i="10"/>
  <c r="AL8" i="10"/>
  <c r="AX4" i="2"/>
  <c r="AX8" i="2" s="1"/>
  <c r="I7" i="3"/>
  <c r="B34" i="3"/>
  <c r="E34" i="4"/>
  <c r="M19" i="7"/>
  <c r="I19" i="7"/>
  <c r="E19" i="7"/>
  <c r="L19" i="7"/>
  <c r="H19" i="7"/>
  <c r="D19" i="7"/>
  <c r="O64" i="8"/>
  <c r="O66" i="7"/>
  <c r="O68" i="7"/>
  <c r="Q68" i="7" s="1"/>
  <c r="C96" i="8"/>
  <c r="C143" i="7"/>
  <c r="C136" i="8"/>
  <c r="N150" i="7"/>
  <c r="N144" i="8" s="1"/>
  <c r="J150" i="7"/>
  <c r="J144" i="8" s="1"/>
  <c r="F150" i="7"/>
  <c r="F144" i="8" s="1"/>
  <c r="M150" i="7"/>
  <c r="M144" i="8" s="1"/>
  <c r="I150" i="7"/>
  <c r="I144" i="8" s="1"/>
  <c r="E150" i="7"/>
  <c r="E144" i="8" s="1"/>
  <c r="O202" i="7"/>
  <c r="Q202" i="7" s="1"/>
  <c r="G19" i="8"/>
  <c r="K28" i="8"/>
  <c r="O62" i="8"/>
  <c r="O105" i="8"/>
  <c r="O184" i="8"/>
  <c r="N16" i="10"/>
  <c r="O16" i="10"/>
  <c r="CX16" i="10"/>
  <c r="CY16" i="10"/>
  <c r="AD8" i="10"/>
  <c r="I32" i="4"/>
  <c r="N32" i="3"/>
  <c r="C32" i="3" s="1"/>
  <c r="D8" i="4"/>
  <c r="D16" i="1"/>
  <c r="AX14" i="2"/>
  <c r="AX22" i="2"/>
  <c r="H8" i="3"/>
  <c r="N18" i="3"/>
  <c r="C18" i="3" s="1"/>
  <c r="K20" i="3"/>
  <c r="K42" i="3"/>
  <c r="F34" i="4"/>
  <c r="J19" i="7"/>
  <c r="D104" i="7"/>
  <c r="E105" i="7"/>
  <c r="Q187" i="7"/>
  <c r="BZ16" i="10"/>
  <c r="CA16" i="10"/>
  <c r="K18" i="2"/>
  <c r="K25" i="2" s="1"/>
  <c r="B25" i="3"/>
  <c r="C17" i="3"/>
  <c r="N5" i="3"/>
  <c r="E5" i="3" s="1"/>
  <c r="I5" i="4"/>
  <c r="N33" i="3"/>
  <c r="G33" i="3" s="1"/>
  <c r="I33" i="4"/>
  <c r="AX18" i="2"/>
  <c r="AX42" i="2"/>
  <c r="E7" i="3"/>
  <c r="N14" i="3"/>
  <c r="E14" i="3" s="1"/>
  <c r="K16" i="3"/>
  <c r="N22" i="3"/>
  <c r="E22" i="3" s="1"/>
  <c r="K24" i="3"/>
  <c r="B34" i="4"/>
  <c r="B49" i="4" s="1"/>
  <c r="B44" i="4"/>
  <c r="M147" i="7"/>
  <c r="M141" i="8" s="1"/>
  <c r="I147" i="7"/>
  <c r="I141" i="8" s="1"/>
  <c r="E147" i="7"/>
  <c r="E141" i="8" s="1"/>
  <c r="L147" i="7"/>
  <c r="L141" i="8" s="1"/>
  <c r="H147" i="7"/>
  <c r="H141" i="8" s="1"/>
  <c r="D147" i="7"/>
  <c r="D141" i="8" s="1"/>
  <c r="H150" i="7"/>
  <c r="H144" i="8" s="1"/>
  <c r="AL16" i="10"/>
  <c r="AM16" i="10"/>
  <c r="BR8" i="10"/>
  <c r="J7" i="1"/>
  <c r="AX33" i="2"/>
  <c r="AX34" i="2" s="1"/>
  <c r="N4" i="3"/>
  <c r="I4" i="3" s="1"/>
  <c r="I8" i="3" s="1"/>
  <c r="N15" i="3"/>
  <c r="I15" i="3" s="1"/>
  <c r="G16" i="3"/>
  <c r="D18" i="3"/>
  <c r="N19" i="3"/>
  <c r="C19" i="3" s="1"/>
  <c r="G20" i="3"/>
  <c r="N23" i="3"/>
  <c r="I23" i="3" s="1"/>
  <c r="G24" i="3"/>
  <c r="E30" i="3"/>
  <c r="C39" i="3"/>
  <c r="G42" i="3"/>
  <c r="K43" i="3"/>
  <c r="C39" i="4"/>
  <c r="C44" i="4" s="1"/>
  <c r="G47" i="5"/>
  <c r="F47" i="5"/>
  <c r="D47" i="5"/>
  <c r="O17" i="7"/>
  <c r="C19" i="7"/>
  <c r="K19" i="7"/>
  <c r="M30" i="25"/>
  <c r="N28" i="8"/>
  <c r="E67" i="7"/>
  <c r="O100" i="7"/>
  <c r="E95" i="8"/>
  <c r="E142" i="7"/>
  <c r="O101" i="8"/>
  <c r="O109" i="7"/>
  <c r="J147" i="7"/>
  <c r="J141" i="8" s="1"/>
  <c r="O142" i="8"/>
  <c r="C150" i="7"/>
  <c r="C144" i="8" s="1"/>
  <c r="K150" i="7"/>
  <c r="K144" i="8" s="1"/>
  <c r="K170" i="8"/>
  <c r="M195" i="7"/>
  <c r="M183" i="8" s="1"/>
  <c r="I195" i="7"/>
  <c r="I183" i="8" s="1"/>
  <c r="E195" i="7"/>
  <c r="E183" i="8" s="1"/>
  <c r="L195" i="7"/>
  <c r="L183" i="8" s="1"/>
  <c r="H195" i="7"/>
  <c r="H183" i="8" s="1"/>
  <c r="D195" i="7"/>
  <c r="D183" i="8" s="1"/>
  <c r="H61" i="8"/>
  <c r="O61" i="8" s="1"/>
  <c r="O67" i="8"/>
  <c r="Q67" i="8" s="1"/>
  <c r="L129" i="8"/>
  <c r="D136" i="8"/>
  <c r="E149" i="8"/>
  <c r="CP8" i="10"/>
  <c r="D34" i="3"/>
  <c r="H34" i="3"/>
  <c r="B44" i="3"/>
  <c r="D49" i="5"/>
  <c r="H49" i="5"/>
  <c r="D30" i="25"/>
  <c r="N30" i="25" s="1"/>
  <c r="P30" i="25" s="1"/>
  <c r="E28" i="8"/>
  <c r="O28" i="7"/>
  <c r="Q28" i="7" s="1"/>
  <c r="O71" i="7"/>
  <c r="Q71" i="7" s="1"/>
  <c r="O139" i="7"/>
  <c r="O148" i="7"/>
  <c r="O151" i="8"/>
  <c r="Q151" i="8" s="1"/>
  <c r="O157" i="7"/>
  <c r="Q157" i="7" s="1"/>
  <c r="O14" i="8"/>
  <c r="O21" i="8"/>
  <c r="O22" i="8"/>
  <c r="O27" i="8"/>
  <c r="Q27" i="8" s="1"/>
  <c r="H28" i="8"/>
  <c r="O55" i="8"/>
  <c r="O56" i="8"/>
  <c r="Q56" i="8" s="1"/>
  <c r="N66" i="8"/>
  <c r="O66" i="8" s="1"/>
  <c r="Q66" i="8" s="1"/>
  <c r="AT16" i="10"/>
  <c r="AU16" i="10"/>
  <c r="DF16" i="10"/>
  <c r="DG16" i="10"/>
  <c r="E49" i="5"/>
  <c r="O20" i="7"/>
  <c r="Q57" i="7"/>
  <c r="E59" i="7"/>
  <c r="D62" i="7"/>
  <c r="D60" i="8" s="1"/>
  <c r="H62" i="7"/>
  <c r="H60" i="8" s="1"/>
  <c r="D111" i="7"/>
  <c r="D103" i="8" s="1"/>
  <c r="H111" i="7"/>
  <c r="H103" i="8" s="1"/>
  <c r="O143" i="8"/>
  <c r="O149" i="7"/>
  <c r="O181" i="8"/>
  <c r="O193" i="7"/>
  <c r="M9" i="8"/>
  <c r="D17" i="8"/>
  <c r="H17" i="8"/>
  <c r="L17" i="8"/>
  <c r="O63" i="8"/>
  <c r="C98" i="8"/>
  <c r="I16" i="10"/>
  <c r="DT7" i="10"/>
  <c r="DL7" i="10"/>
  <c r="DD7" i="10"/>
  <c r="CV7" i="10"/>
  <c r="CN7" i="10"/>
  <c r="CF7" i="10"/>
  <c r="BX7" i="10"/>
  <c r="BP7" i="10"/>
  <c r="BH7" i="10"/>
  <c r="AZ7" i="10"/>
  <c r="AR7" i="10"/>
  <c r="AJ7" i="10"/>
  <c r="AB7" i="10"/>
  <c r="T7" i="10"/>
  <c r="L7" i="10"/>
  <c r="DZ7" i="10"/>
  <c r="DR7" i="10"/>
  <c r="DJ7" i="10"/>
  <c r="DB7" i="10"/>
  <c r="CT7" i="10"/>
  <c r="CL7" i="10"/>
  <c r="CD7" i="10"/>
  <c r="BV7" i="10"/>
  <c r="BN7" i="10"/>
  <c r="BF7" i="10"/>
  <c r="AX7" i="10"/>
  <c r="AP7" i="10"/>
  <c r="AH7" i="10"/>
  <c r="Z7" i="10"/>
  <c r="R7" i="10"/>
  <c r="K7" i="10"/>
  <c r="K16" i="10" s="1"/>
  <c r="DX7" i="10"/>
  <c r="DP7" i="10"/>
  <c r="DH7" i="10"/>
  <c r="CZ7" i="10"/>
  <c r="CR7" i="10"/>
  <c r="CJ7" i="10"/>
  <c r="CB7" i="10"/>
  <c r="BT7" i="10"/>
  <c r="BL7" i="10"/>
  <c r="BD7" i="10"/>
  <c r="AV7" i="10"/>
  <c r="AN7" i="10"/>
  <c r="AF7" i="10"/>
  <c r="X7" i="10"/>
  <c r="P7" i="10"/>
  <c r="J7" i="10"/>
  <c r="J16" i="10" s="1"/>
  <c r="DV7" i="10"/>
  <c r="CP7" i="10"/>
  <c r="BJ7" i="10"/>
  <c r="AD7" i="10"/>
  <c r="DN7" i="10"/>
  <c r="CH7" i="10"/>
  <c r="BB7" i="10"/>
  <c r="V7" i="10"/>
  <c r="BR7" i="10"/>
  <c r="BU9" i="13"/>
  <c r="BU18" i="13" s="1"/>
  <c r="BQ9" i="13"/>
  <c r="BQ18" i="13" s="1"/>
  <c r="BM9" i="13"/>
  <c r="BM18" i="13" s="1"/>
  <c r="BI9" i="13"/>
  <c r="BI18" i="13" s="1"/>
  <c r="BE9" i="13"/>
  <c r="BE18" i="13" s="1"/>
  <c r="BA9" i="13"/>
  <c r="BA18" i="13" s="1"/>
  <c r="AW9" i="13"/>
  <c r="AW18" i="13" s="1"/>
  <c r="AS9" i="13"/>
  <c r="AS18" i="13" s="1"/>
  <c r="AO9" i="13"/>
  <c r="AO18" i="13" s="1"/>
  <c r="AK9" i="13"/>
  <c r="AK18" i="13" s="1"/>
  <c r="AG9" i="13"/>
  <c r="AG18" i="13" s="1"/>
  <c r="AC9" i="13"/>
  <c r="AC18" i="13" s="1"/>
  <c r="Y9" i="13"/>
  <c r="Y18" i="13" s="1"/>
  <c r="U9" i="13"/>
  <c r="U18" i="13" s="1"/>
  <c r="Q9" i="13"/>
  <c r="Q18" i="13" s="1"/>
  <c r="N18" i="13"/>
  <c r="BT9" i="13"/>
  <c r="BT18" i="13" s="1"/>
  <c r="BP9" i="13"/>
  <c r="BP18" i="13" s="1"/>
  <c r="BL9" i="13"/>
  <c r="BL18" i="13" s="1"/>
  <c r="BH9" i="13"/>
  <c r="BH18" i="13" s="1"/>
  <c r="BD9" i="13"/>
  <c r="BD18" i="13" s="1"/>
  <c r="AZ9" i="13"/>
  <c r="AZ18" i="13" s="1"/>
  <c r="AV9" i="13"/>
  <c r="AV18" i="13" s="1"/>
  <c r="AR9" i="13"/>
  <c r="AR18" i="13" s="1"/>
  <c r="AN9" i="13"/>
  <c r="AN18" i="13" s="1"/>
  <c r="AJ9" i="13"/>
  <c r="AJ18" i="13" s="1"/>
  <c r="AF9" i="13"/>
  <c r="AF18" i="13" s="1"/>
  <c r="AB9" i="13"/>
  <c r="AB18" i="13" s="1"/>
  <c r="X9" i="13"/>
  <c r="X18" i="13" s="1"/>
  <c r="T9" i="13"/>
  <c r="T18" i="13" s="1"/>
  <c r="P9" i="13"/>
  <c r="P18" i="13" s="1"/>
  <c r="BS9" i="13"/>
  <c r="BS18" i="13" s="1"/>
  <c r="BO9" i="13"/>
  <c r="BO18" i="13" s="1"/>
  <c r="BK9" i="13"/>
  <c r="BK18" i="13" s="1"/>
  <c r="BG9" i="13"/>
  <c r="BG18" i="13" s="1"/>
  <c r="BC9" i="13"/>
  <c r="BC18" i="13" s="1"/>
  <c r="AY9" i="13"/>
  <c r="AY18" i="13" s="1"/>
  <c r="AU9" i="13"/>
  <c r="AU18" i="13" s="1"/>
  <c r="AQ9" i="13"/>
  <c r="AQ18" i="13" s="1"/>
  <c r="AM9" i="13"/>
  <c r="AM18" i="13" s="1"/>
  <c r="AI9" i="13"/>
  <c r="AI18" i="13" s="1"/>
  <c r="AE9" i="13"/>
  <c r="AE18" i="13" s="1"/>
  <c r="AA9" i="13"/>
  <c r="AA18" i="13" s="1"/>
  <c r="W9" i="13"/>
  <c r="W18" i="13" s="1"/>
  <c r="S9" i="13"/>
  <c r="S18" i="13" s="1"/>
  <c r="O9" i="13"/>
  <c r="O18" i="13" s="1"/>
  <c r="BV9" i="13"/>
  <c r="BV18" i="13" s="1"/>
  <c r="BF9" i="13"/>
  <c r="BF18" i="13" s="1"/>
  <c r="AP9" i="13"/>
  <c r="AP18" i="13" s="1"/>
  <c r="Z9" i="13"/>
  <c r="Z18" i="13" s="1"/>
  <c r="BR9" i="13"/>
  <c r="BR18" i="13" s="1"/>
  <c r="BB9" i="13"/>
  <c r="BB18" i="13" s="1"/>
  <c r="AL9" i="13"/>
  <c r="AL18" i="13" s="1"/>
  <c r="V9" i="13"/>
  <c r="V18" i="13" s="1"/>
  <c r="BN9" i="13"/>
  <c r="BN18" i="13" s="1"/>
  <c r="AX9" i="13"/>
  <c r="AX18" i="13" s="1"/>
  <c r="AH9" i="13"/>
  <c r="AH18" i="13" s="1"/>
  <c r="R9" i="13"/>
  <c r="R18" i="13" s="1"/>
  <c r="BJ9" i="13"/>
  <c r="BJ18" i="13" s="1"/>
  <c r="AT9" i="13"/>
  <c r="AT18" i="13" s="1"/>
  <c r="O175" i="8"/>
  <c r="O20" i="9"/>
  <c r="H31" i="9" s="1"/>
  <c r="J19" i="9"/>
  <c r="E31" i="9" s="1"/>
  <c r="AD6" i="10"/>
  <c r="BJ6" i="10"/>
  <c r="CP6" i="10"/>
  <c r="AU28" i="16"/>
  <c r="AU22" i="16"/>
  <c r="T20" i="9"/>
  <c r="L31" i="9" s="1"/>
  <c r="DT6" i="10"/>
  <c r="DL6" i="10"/>
  <c r="DD6" i="10"/>
  <c r="CV6" i="10"/>
  <c r="CN6" i="10"/>
  <c r="CF6" i="10"/>
  <c r="BX6" i="10"/>
  <c r="BP6" i="10"/>
  <c r="BH6" i="10"/>
  <c r="AZ6" i="10"/>
  <c r="AR6" i="10"/>
  <c r="AJ6" i="10"/>
  <c r="AB6" i="10"/>
  <c r="T6" i="10"/>
  <c r="L6" i="10"/>
  <c r="DZ6" i="10"/>
  <c r="DR6" i="10"/>
  <c r="DJ6" i="10"/>
  <c r="DB6" i="10"/>
  <c r="CT6" i="10"/>
  <c r="CL6" i="10"/>
  <c r="CD6" i="10"/>
  <c r="BV6" i="10"/>
  <c r="BN6" i="10"/>
  <c r="BF6" i="10"/>
  <c r="AX6" i="10"/>
  <c r="AP6" i="10"/>
  <c r="AH6" i="10"/>
  <c r="Z6" i="10"/>
  <c r="R6" i="10"/>
  <c r="K6" i="10"/>
  <c r="K15" i="10" s="1"/>
  <c r="I15" i="10"/>
  <c r="DX6" i="10"/>
  <c r="DP6" i="10"/>
  <c r="DH6" i="10"/>
  <c r="CZ6" i="10"/>
  <c r="CR6" i="10"/>
  <c r="CJ6" i="10"/>
  <c r="CB6" i="10"/>
  <c r="BT6" i="10"/>
  <c r="BL6" i="10"/>
  <c r="BD6" i="10"/>
  <c r="AV6" i="10"/>
  <c r="AN6" i="10"/>
  <c r="AF6" i="10"/>
  <c r="X6" i="10"/>
  <c r="P6" i="10"/>
  <c r="J6" i="10"/>
  <c r="J15" i="10" s="1"/>
  <c r="AL6" i="10"/>
  <c r="BR6" i="10"/>
  <c r="CX6" i="10"/>
  <c r="S29" i="16"/>
  <c r="I28" i="16"/>
  <c r="I29" i="16" s="1"/>
  <c r="I22" i="16"/>
  <c r="O7" i="12"/>
  <c r="AQ28" i="16"/>
  <c r="M17" i="13"/>
  <c r="N8" i="13"/>
  <c r="M37" i="13"/>
  <c r="N29" i="13"/>
  <c r="K21" i="16"/>
  <c r="K28" i="16" s="1"/>
  <c r="K14" i="16"/>
  <c r="E9" i="7" s="1"/>
  <c r="O14" i="16"/>
  <c r="I9" i="7" s="1"/>
  <c r="O21" i="16"/>
  <c r="S22" i="16"/>
  <c r="S28" i="16"/>
  <c r="W21" i="16"/>
  <c r="W14" i="16"/>
  <c r="AI28" i="16"/>
  <c r="AI22" i="16"/>
  <c r="AM28" i="16"/>
  <c r="AM22" i="16"/>
  <c r="AY28" i="16"/>
  <c r="AY22" i="16"/>
  <c r="BC28" i="16"/>
  <c r="BC22" i="16"/>
  <c r="BG22" i="16"/>
  <c r="BG28" i="16"/>
  <c r="BK28" i="16"/>
  <c r="BK22" i="16"/>
  <c r="BO28" i="16"/>
  <c r="BO22" i="16"/>
  <c r="AJ28" i="16"/>
  <c r="AJ22" i="16"/>
  <c r="AB28" i="16"/>
  <c r="AB22" i="16"/>
  <c r="AN28" i="16"/>
  <c r="AN22" i="16"/>
  <c r="AR28" i="16"/>
  <c r="AR22" i="16"/>
  <c r="AV28" i="16"/>
  <c r="AV22" i="16"/>
  <c r="AV29" i="16" s="1"/>
  <c r="BD28" i="16"/>
  <c r="BD22" i="16"/>
  <c r="BH28" i="16"/>
  <c r="BH22" i="16"/>
  <c r="BL28" i="16"/>
  <c r="BL22" i="16"/>
  <c r="BL29" i="16" s="1"/>
  <c r="AZ28" i="16"/>
  <c r="AZ22" i="16"/>
  <c r="N30" i="13"/>
  <c r="AE14" i="16"/>
  <c r="M52" i="7" s="1"/>
  <c r="AD14" i="16"/>
  <c r="Z14" i="16"/>
  <c r="V14" i="16"/>
  <c r="D52" i="7" s="1"/>
  <c r="AC14" i="16"/>
  <c r="K52" i="7" s="1"/>
  <c r="Y14" i="16"/>
  <c r="G52" i="7" s="1"/>
  <c r="U14" i="16"/>
  <c r="AB14" i="16"/>
  <c r="X14" i="16"/>
  <c r="F52" i="7" s="1"/>
  <c r="BM22" i="16"/>
  <c r="BM29" i="16" s="1"/>
  <c r="BM28" i="16"/>
  <c r="AA14" i="16"/>
  <c r="I52" i="7" s="1"/>
  <c r="AO28" i="16"/>
  <c r="AO22" i="16"/>
  <c r="BP28" i="16"/>
  <c r="BP22" i="16"/>
  <c r="AW28" i="16"/>
  <c r="N7" i="13"/>
  <c r="AD22" i="16"/>
  <c r="AF14" i="16"/>
  <c r="N52" i="7" s="1"/>
  <c r="BE28" i="16"/>
  <c r="BE22" i="16"/>
  <c r="L14" i="16"/>
  <c r="F9" i="7" s="1"/>
  <c r="P14" i="16"/>
  <c r="J9" i="7" s="1"/>
  <c r="AG29" i="16"/>
  <c r="AR14" i="16"/>
  <c r="N96" i="7" s="1"/>
  <c r="AW29" i="16"/>
  <c r="BB29" i="16"/>
  <c r="BH14" i="16"/>
  <c r="BK16" i="18"/>
  <c r="BC16" i="18"/>
  <c r="BC18" i="18" s="1"/>
  <c r="N136" i="7" s="1"/>
  <c r="N130" i="8" s="1"/>
  <c r="AU16" i="18"/>
  <c r="AM16" i="18"/>
  <c r="AE16" i="18"/>
  <c r="W16" i="18"/>
  <c r="W18" i="18" s="1"/>
  <c r="F53" i="7" s="1"/>
  <c r="F51" i="8" s="1"/>
  <c r="O16" i="18"/>
  <c r="BO16" i="18"/>
  <c r="BG16" i="18"/>
  <c r="AY16" i="18"/>
  <c r="AY18" i="18" s="1"/>
  <c r="J136" i="7" s="1"/>
  <c r="J130" i="8" s="1"/>
  <c r="AQ16" i="18"/>
  <c r="AQ18" i="18" s="1"/>
  <c r="N97" i="7" s="1"/>
  <c r="N89" i="8" s="1"/>
  <c r="AI16" i="18"/>
  <c r="AA16" i="18"/>
  <c r="S16" i="18"/>
  <c r="S18" i="18" s="1"/>
  <c r="N10" i="7" s="1"/>
  <c r="K16" i="18"/>
  <c r="K18" i="18" s="1"/>
  <c r="F10" i="7" s="1"/>
  <c r="BE18" i="18"/>
  <c r="D183" i="7" s="1"/>
  <c r="L16" i="18"/>
  <c r="T16" i="18"/>
  <c r="AB16" i="18"/>
  <c r="AB18" i="18" s="1"/>
  <c r="K53" i="7" s="1"/>
  <c r="K51" i="8" s="1"/>
  <c r="AJ16" i="18"/>
  <c r="AR16" i="18"/>
  <c r="AZ16" i="18"/>
  <c r="BH16" i="18"/>
  <c r="BH18" i="18" s="1"/>
  <c r="G183" i="7" s="1"/>
  <c r="G171" i="8" s="1"/>
  <c r="G172" i="8" s="1"/>
  <c r="P16" i="18"/>
  <c r="AV16" i="18"/>
  <c r="I14" i="16"/>
  <c r="M14" i="16"/>
  <c r="G9" i="7" s="1"/>
  <c r="Q14" i="16"/>
  <c r="AH14" i="16"/>
  <c r="D96" i="7" s="1"/>
  <c r="AN14" i="16"/>
  <c r="AS14" i="16"/>
  <c r="AX14" i="16"/>
  <c r="BD14" i="16"/>
  <c r="BI14" i="16"/>
  <c r="K22" i="16"/>
  <c r="P22" i="16"/>
  <c r="Z22" i="16"/>
  <c r="AK22" i="16"/>
  <c r="AK29" i="16" s="1"/>
  <c r="AP22" i="16"/>
  <c r="AP29" i="16" s="1"/>
  <c r="BA22" i="16"/>
  <c r="BA29" i="16" s="1"/>
  <c r="BF22" i="16"/>
  <c r="BF29" i="16" s="1"/>
  <c r="AD28" i="16"/>
  <c r="BB28" i="16"/>
  <c r="X16" i="18"/>
  <c r="BD16" i="18"/>
  <c r="N31" i="13"/>
  <c r="P29" i="16"/>
  <c r="L29" i="16"/>
  <c r="N29" i="16"/>
  <c r="N22" i="16"/>
  <c r="J22" i="16"/>
  <c r="K29" i="16"/>
  <c r="BO14" i="16"/>
  <c r="BK14" i="16"/>
  <c r="BG14" i="16"/>
  <c r="BC14" i="16"/>
  <c r="AY14" i="16"/>
  <c r="AU14" i="16"/>
  <c r="AQ14" i="16"/>
  <c r="M96" i="7" s="1"/>
  <c r="AM14" i="16"/>
  <c r="I96" i="7" s="1"/>
  <c r="AI14" i="16"/>
  <c r="J14" i="16"/>
  <c r="D9" i="7" s="1"/>
  <c r="N14" i="16"/>
  <c r="H9" i="7" s="1"/>
  <c r="R14" i="16"/>
  <c r="L9" i="7" s="1"/>
  <c r="AJ14" i="16"/>
  <c r="F96" i="7" s="1"/>
  <c r="AO14" i="16"/>
  <c r="K96" i="7" s="1"/>
  <c r="AT14" i="16"/>
  <c r="AZ14" i="16"/>
  <c r="BE14" i="16"/>
  <c r="BJ14" i="16"/>
  <c r="BP14" i="16"/>
  <c r="L22" i="16"/>
  <c r="O18" i="18"/>
  <c r="J10" i="7" s="1"/>
  <c r="AA18" i="18"/>
  <c r="J53" i="7" s="1"/>
  <c r="J51" i="8" s="1"/>
  <c r="AE18" i="18"/>
  <c r="N53" i="7" s="1"/>
  <c r="N51" i="8" s="1"/>
  <c r="AI18" i="18"/>
  <c r="F97" i="7" s="1"/>
  <c r="F89" i="8" s="1"/>
  <c r="AM18" i="18"/>
  <c r="J97" i="7" s="1"/>
  <c r="J89" i="8" s="1"/>
  <c r="AU18" i="18"/>
  <c r="F136" i="7" s="1"/>
  <c r="BG18" i="18"/>
  <c r="F183" i="7" s="1"/>
  <c r="F171" i="8" s="1"/>
  <c r="F172" i="8" s="1"/>
  <c r="BK18" i="18"/>
  <c r="J183" i="7" s="1"/>
  <c r="J171" i="8" s="1"/>
  <c r="J172" i="8" s="1"/>
  <c r="BO18" i="18"/>
  <c r="N183" i="7" s="1"/>
  <c r="N171" i="8" s="1"/>
  <c r="J16" i="18"/>
  <c r="J18" i="18" s="1"/>
  <c r="E10" i="7" s="1"/>
  <c r="N16" i="18"/>
  <c r="N18" i="18" s="1"/>
  <c r="I10" i="7" s="1"/>
  <c r="R16" i="18"/>
  <c r="V16" i="18"/>
  <c r="Z16" i="18"/>
  <c r="Z18" i="18" s="1"/>
  <c r="I53" i="7" s="1"/>
  <c r="I51" i="8" s="1"/>
  <c r="AD16" i="18"/>
  <c r="AH16" i="18"/>
  <c r="AL16" i="18"/>
  <c r="AP16" i="18"/>
  <c r="AT16" i="18"/>
  <c r="AX16" i="18"/>
  <c r="BB16" i="18"/>
  <c r="BF16" i="18"/>
  <c r="BF18" i="18" s="1"/>
  <c r="E183" i="7" s="1"/>
  <c r="E171" i="8" s="1"/>
  <c r="BJ16" i="18"/>
  <c r="BJ18" i="18" s="1"/>
  <c r="I183" i="7" s="1"/>
  <c r="I171" i="8" s="1"/>
  <c r="I172" i="8" s="1"/>
  <c r="BN16" i="18"/>
  <c r="AF16" i="18"/>
  <c r="BL16" i="18"/>
  <c r="BL18" i="18" s="1"/>
  <c r="K183" i="7" s="1"/>
  <c r="J17" i="18"/>
  <c r="R17" i="18"/>
  <c r="Z17" i="18"/>
  <c r="AH17" i="18"/>
  <c r="AP17" i="18"/>
  <c r="AX17" i="18"/>
  <c r="BF17" i="18"/>
  <c r="BN17" i="18"/>
  <c r="BS4" i="21"/>
  <c r="BS12" i="21" s="1"/>
  <c r="BS15" i="21" s="1"/>
  <c r="BO4" i="21"/>
  <c r="BO12" i="21" s="1"/>
  <c r="BK4" i="21"/>
  <c r="BK12" i="21" s="1"/>
  <c r="BG4" i="21"/>
  <c r="BG12" i="21" s="1"/>
  <c r="BG15" i="21" s="1"/>
  <c r="BC4" i="21"/>
  <c r="BC12" i="21" s="1"/>
  <c r="BC15" i="21" s="1"/>
  <c r="AY4" i="21"/>
  <c r="AY12" i="21" s="1"/>
  <c r="AY15" i="21" s="1"/>
  <c r="AU4" i="21"/>
  <c r="AU12" i="21" s="1"/>
  <c r="AQ4" i="21"/>
  <c r="AQ12" i="21" s="1"/>
  <c r="AQ15" i="21" s="1"/>
  <c r="AM4" i="21"/>
  <c r="AM12" i="21" s="1"/>
  <c r="AM15" i="21" s="1"/>
  <c r="AI4" i="21"/>
  <c r="AI12" i="21" s="1"/>
  <c r="AI15" i="21" s="1"/>
  <c r="AE4" i="21"/>
  <c r="AE12" i="21" s="1"/>
  <c r="AE15" i="21" s="1"/>
  <c r="AA4" i="21"/>
  <c r="AA12" i="21" s="1"/>
  <c r="AA15" i="21" s="1"/>
  <c r="W4" i="21"/>
  <c r="W12" i="21" s="1"/>
  <c r="W15" i="21" s="1"/>
  <c r="S4" i="21"/>
  <c r="S12" i="21" s="1"/>
  <c r="S15" i="21" s="1"/>
  <c r="O4" i="21"/>
  <c r="O12" i="21" s="1"/>
  <c r="O15" i="21" s="1"/>
  <c r="BR4" i="21"/>
  <c r="BR12" i="21" s="1"/>
  <c r="BN4" i="21"/>
  <c r="BN12" i="21" s="1"/>
  <c r="BJ4" i="21"/>
  <c r="BJ12" i="21" s="1"/>
  <c r="BF4" i="21"/>
  <c r="BF12" i="21" s="1"/>
  <c r="BB4" i="21"/>
  <c r="BB12" i="21" s="1"/>
  <c r="AX4" i="21"/>
  <c r="AX12" i="21" s="1"/>
  <c r="AT4" i="21"/>
  <c r="AT12" i="21" s="1"/>
  <c r="AP4" i="21"/>
  <c r="AP12" i="21" s="1"/>
  <c r="AL4" i="21"/>
  <c r="AL12" i="21" s="1"/>
  <c r="AH4" i="21"/>
  <c r="AH12" i="21" s="1"/>
  <c r="AH15" i="21" s="1"/>
  <c r="AD4" i="21"/>
  <c r="AD12" i="21" s="1"/>
  <c r="AD15" i="21" s="1"/>
  <c r="Z4" i="21"/>
  <c r="Z12" i="21" s="1"/>
  <c r="Z15" i="21" s="1"/>
  <c r="V4" i="21"/>
  <c r="V12" i="21" s="1"/>
  <c r="V15" i="21" s="1"/>
  <c r="R4" i="21"/>
  <c r="R12" i="21" s="1"/>
  <c r="R15" i="21" s="1"/>
  <c r="N4" i="21"/>
  <c r="N12" i="21" s="1"/>
  <c r="N15" i="21" s="1"/>
  <c r="T4" i="21"/>
  <c r="T12" i="21" s="1"/>
  <c r="AB4" i="21"/>
  <c r="AB12" i="21" s="1"/>
  <c r="AJ4" i="21"/>
  <c r="AJ12" i="21" s="1"/>
  <c r="AR4" i="21"/>
  <c r="AR12" i="21" s="1"/>
  <c r="AZ4" i="21"/>
  <c r="AZ12" i="21" s="1"/>
  <c r="BH4" i="21"/>
  <c r="BH12" i="21" s="1"/>
  <c r="BP4" i="21"/>
  <c r="BP12" i="21" s="1"/>
  <c r="AK15" i="21"/>
  <c r="BQ15" i="21"/>
  <c r="I16" i="18"/>
  <c r="I18" i="18" s="1"/>
  <c r="D10" i="7" s="1"/>
  <c r="M16" i="18"/>
  <c r="M18" i="18" s="1"/>
  <c r="H10" i="7" s="1"/>
  <c r="Q16" i="18"/>
  <c r="Q18" i="18" s="1"/>
  <c r="L10" i="7" s="1"/>
  <c r="U16" i="18"/>
  <c r="U18" i="18" s="1"/>
  <c r="D53" i="7" s="1"/>
  <c r="D51" i="8" s="1"/>
  <c r="Y16" i="18"/>
  <c r="Y18" i="18" s="1"/>
  <c r="H53" i="7" s="1"/>
  <c r="H51" i="8" s="1"/>
  <c r="AC16" i="18"/>
  <c r="AC18" i="18" s="1"/>
  <c r="L53" i="7" s="1"/>
  <c r="L51" i="8" s="1"/>
  <c r="AG16" i="18"/>
  <c r="AG18" i="18" s="1"/>
  <c r="D97" i="7" s="1"/>
  <c r="D89" i="8" s="1"/>
  <c r="AK16" i="18"/>
  <c r="AK18" i="18" s="1"/>
  <c r="H97" i="7" s="1"/>
  <c r="AO16" i="18"/>
  <c r="AO18" i="18" s="1"/>
  <c r="L97" i="7" s="1"/>
  <c r="AS16" i="18"/>
  <c r="AS18" i="18" s="1"/>
  <c r="D136" i="7" s="1"/>
  <c r="D130" i="8" s="1"/>
  <c r="AW16" i="18"/>
  <c r="AW18" i="18" s="1"/>
  <c r="H136" i="7" s="1"/>
  <c r="H130" i="8" s="1"/>
  <c r="BA16" i="18"/>
  <c r="BA18" i="18" s="1"/>
  <c r="L136" i="7" s="1"/>
  <c r="BE16" i="18"/>
  <c r="BI16" i="18"/>
  <c r="BI18" i="18" s="1"/>
  <c r="H183" i="7" s="1"/>
  <c r="H171" i="8" s="1"/>
  <c r="BM16" i="18"/>
  <c r="BM18" i="18" s="1"/>
  <c r="L183" i="7" s="1"/>
  <c r="H17" i="18"/>
  <c r="H18" i="18" s="1"/>
  <c r="L17" i="18"/>
  <c r="L18" i="18" s="1"/>
  <c r="G10" i="7" s="1"/>
  <c r="P17" i="18"/>
  <c r="T17" i="18"/>
  <c r="T18" i="18" s="1"/>
  <c r="X17" i="18"/>
  <c r="X18" i="18" s="1"/>
  <c r="G53" i="7" s="1"/>
  <c r="G51" i="8" s="1"/>
  <c r="AB17" i="18"/>
  <c r="AF17" i="18"/>
  <c r="AJ17" i="18"/>
  <c r="AJ18" i="18" s="1"/>
  <c r="G97" i="7" s="1"/>
  <c r="AN17" i="18"/>
  <c r="AN18" i="18" s="1"/>
  <c r="K97" i="7" s="1"/>
  <c r="K89" i="8" s="1"/>
  <c r="AR17" i="18"/>
  <c r="AR18" i="18" s="1"/>
  <c r="AV17" i="18"/>
  <c r="AV18" i="18" s="1"/>
  <c r="G136" i="7" s="1"/>
  <c r="AZ17" i="18"/>
  <c r="AZ18" i="18" s="1"/>
  <c r="K136" i="7" s="1"/>
  <c r="BD17" i="18"/>
  <c r="BD18" i="18" s="1"/>
  <c r="BH17" i="18"/>
  <c r="BL17" i="18"/>
  <c r="N17" i="18"/>
  <c r="V17" i="18"/>
  <c r="V18" i="18" s="1"/>
  <c r="E53" i="7" s="1"/>
  <c r="E51" i="8" s="1"/>
  <c r="AD17" i="18"/>
  <c r="AL17" i="18"/>
  <c r="AL18" i="18" s="1"/>
  <c r="I97" i="7" s="1"/>
  <c r="I89" i="8" s="1"/>
  <c r="AT17" i="18"/>
  <c r="BB17" i="18"/>
  <c r="BB18" i="18" s="1"/>
  <c r="M136" i="7" s="1"/>
  <c r="M130" i="8" s="1"/>
  <c r="P4" i="21"/>
  <c r="P12" i="21" s="1"/>
  <c r="X4" i="21"/>
  <c r="X12" i="21" s="1"/>
  <c r="AF4" i="21"/>
  <c r="AF12" i="21" s="1"/>
  <c r="AN4" i="21"/>
  <c r="AN12" i="21" s="1"/>
  <c r="AN15" i="21" s="1"/>
  <c r="AV4" i="21"/>
  <c r="AV12" i="21" s="1"/>
  <c r="BD4" i="21"/>
  <c r="BD12" i="21" s="1"/>
  <c r="BL4" i="21"/>
  <c r="BL12" i="21" s="1"/>
  <c r="BL15" i="21" s="1"/>
  <c r="BT4" i="21"/>
  <c r="BT12" i="21" s="1"/>
  <c r="BT15" i="21" s="1"/>
  <c r="P5" i="21"/>
  <c r="P13" i="21" s="1"/>
  <c r="T5" i="21"/>
  <c r="T13" i="21" s="1"/>
  <c r="X5" i="21"/>
  <c r="X13" i="21" s="1"/>
  <c r="AB5" i="21"/>
  <c r="AB13" i="21" s="1"/>
  <c r="AF5" i="21"/>
  <c r="AF13" i="21" s="1"/>
  <c r="AJ5" i="21"/>
  <c r="AJ13" i="21" s="1"/>
  <c r="AN5" i="21"/>
  <c r="AN13" i="21" s="1"/>
  <c r="AR5" i="21"/>
  <c r="AR13" i="21" s="1"/>
  <c r="AV5" i="21"/>
  <c r="AV13" i="21" s="1"/>
  <c r="AZ5" i="21"/>
  <c r="AZ13" i="21" s="1"/>
  <c r="BD5" i="21"/>
  <c r="BD13" i="21" s="1"/>
  <c r="BH5" i="21"/>
  <c r="BH13" i="21" s="1"/>
  <c r="BL5" i="21"/>
  <c r="BL13" i="21" s="1"/>
  <c r="BP5" i="21"/>
  <c r="BP13" i="21" s="1"/>
  <c r="BT5" i="21"/>
  <c r="BT13" i="21" s="1"/>
  <c r="BO14" i="21"/>
  <c r="BT14" i="21"/>
  <c r="M5" i="21"/>
  <c r="M13" i="21" s="1"/>
  <c r="M15" i="21" s="1"/>
  <c r="Q5" i="21"/>
  <c r="Q13" i="21" s="1"/>
  <c r="Q15" i="21" s="1"/>
  <c r="U5" i="21"/>
  <c r="U13" i="21" s="1"/>
  <c r="U15" i="21" s="1"/>
  <c r="Y5" i="21"/>
  <c r="Y13" i="21" s="1"/>
  <c r="Y15" i="21" s="1"/>
  <c r="AC5" i="21"/>
  <c r="AC13" i="21" s="1"/>
  <c r="AC15" i="21" s="1"/>
  <c r="AG5" i="21"/>
  <c r="AG13" i="21" s="1"/>
  <c r="AG15" i="21" s="1"/>
  <c r="AK5" i="21"/>
  <c r="AK13" i="21" s="1"/>
  <c r="AO5" i="21"/>
  <c r="AO13" i="21" s="1"/>
  <c r="AS5" i="21"/>
  <c r="AS13" i="21" s="1"/>
  <c r="AS15" i="21" s="1"/>
  <c r="AW5" i="21"/>
  <c r="AW13" i="21" s="1"/>
  <c r="AW15" i="21" s="1"/>
  <c r="BA5" i="21"/>
  <c r="BA13" i="21" s="1"/>
  <c r="BA15" i="21" s="1"/>
  <c r="BE5" i="21"/>
  <c r="BE13" i="21" s="1"/>
  <c r="BE15" i="21" s="1"/>
  <c r="BI5" i="21"/>
  <c r="BI13" i="21" s="1"/>
  <c r="BI15" i="21" s="1"/>
  <c r="BM5" i="21"/>
  <c r="BM13" i="21" s="1"/>
  <c r="BM15" i="21" s="1"/>
  <c r="BR6" i="21"/>
  <c r="BR14" i="21" s="1"/>
  <c r="BN6" i="21"/>
  <c r="BN14" i="21" s="1"/>
  <c r="BJ6" i="21"/>
  <c r="BJ14" i="21" s="1"/>
  <c r="BF6" i="21"/>
  <c r="BF14" i="21" s="1"/>
  <c r="BB6" i="21"/>
  <c r="BB14" i="21" s="1"/>
  <c r="AX6" i="21"/>
  <c r="AX14" i="21" s="1"/>
  <c r="AT6" i="21"/>
  <c r="AT14" i="21" s="1"/>
  <c r="AP6" i="21"/>
  <c r="AP14" i="21" s="1"/>
  <c r="AL6" i="21"/>
  <c r="AL14" i="21" s="1"/>
  <c r="P6" i="21"/>
  <c r="P14" i="21" s="1"/>
  <c r="T6" i="21"/>
  <c r="T14" i="21" s="1"/>
  <c r="X6" i="21"/>
  <c r="X14" i="21" s="1"/>
  <c r="AB6" i="21"/>
  <c r="AB14" i="21" s="1"/>
  <c r="AF6" i="21"/>
  <c r="AF14" i="21" s="1"/>
  <c r="AJ6" i="21"/>
  <c r="AJ14" i="21" s="1"/>
  <c r="AO6" i="21"/>
  <c r="AO14" i="21" s="1"/>
  <c r="AO15" i="21" s="1"/>
  <c r="AU6" i="21"/>
  <c r="AU14" i="21" s="1"/>
  <c r="AZ6" i="21"/>
  <c r="AZ14" i="21" s="1"/>
  <c r="BE6" i="21"/>
  <c r="BE14" i="21" s="1"/>
  <c r="BK6" i="21"/>
  <c r="BK14" i="21" s="1"/>
  <c r="BP6" i="21"/>
  <c r="BP14" i="21" s="1"/>
  <c r="P16" i="25"/>
  <c r="N22" i="25"/>
  <c r="N26" i="25"/>
  <c r="P26" i="25" s="1"/>
  <c r="B17" i="24"/>
  <c r="F17" i="24"/>
  <c r="J17" i="24"/>
  <c r="R17" i="24"/>
  <c r="C19" i="25"/>
  <c r="G19" i="25"/>
  <c r="K19" i="25"/>
  <c r="N17" i="25"/>
  <c r="P17" i="25" s="1"/>
  <c r="N18" i="25"/>
  <c r="P18" i="25" s="1"/>
  <c r="N29" i="25"/>
  <c r="P29" i="25" s="1"/>
  <c r="B19" i="25"/>
  <c r="K171" i="8" l="1"/>
  <c r="K184" i="7"/>
  <c r="K22" i="3"/>
  <c r="C33" i="3"/>
  <c r="G42" i="5"/>
  <c r="M10" i="25"/>
  <c r="N9" i="8"/>
  <c r="DV6" i="10"/>
  <c r="DN6" i="10"/>
  <c r="BB6" i="10"/>
  <c r="DF6" i="10"/>
  <c r="V6" i="10"/>
  <c r="CH6" i="10"/>
  <c r="N6" i="10"/>
  <c r="BZ6" i="10"/>
  <c r="AT6" i="10"/>
  <c r="BP15" i="21"/>
  <c r="AJ15" i="21"/>
  <c r="AX15" i="21"/>
  <c r="BN15" i="21"/>
  <c r="AP18" i="18"/>
  <c r="M97" i="7" s="1"/>
  <c r="M89" i="8" s="1"/>
  <c r="AF18" i="18"/>
  <c r="C41" i="3"/>
  <c r="E18" i="3"/>
  <c r="K41" i="3"/>
  <c r="C7" i="3"/>
  <c r="E31" i="3"/>
  <c r="K7" i="3"/>
  <c r="BN29" i="16"/>
  <c r="L182" i="7"/>
  <c r="E42" i="3"/>
  <c r="AL15" i="21"/>
  <c r="BB15" i="21"/>
  <c r="BR15" i="21"/>
  <c r="BN18" i="18"/>
  <c r="M183" i="7" s="1"/>
  <c r="M171" i="8" s="1"/>
  <c r="M172" i="8" s="1"/>
  <c r="AX18" i="18"/>
  <c r="I136" i="7" s="1"/>
  <c r="I130" i="8" s="1"/>
  <c r="AH18" i="18"/>
  <c r="E97" i="7" s="1"/>
  <c r="E89" i="8" s="1"/>
  <c r="R18" i="18"/>
  <c r="M10" i="7" s="1"/>
  <c r="P18" i="18"/>
  <c r="K10" i="7" s="1"/>
  <c r="J11" i="25" s="1"/>
  <c r="G41" i="3"/>
  <c r="I33" i="3"/>
  <c r="E41" i="3"/>
  <c r="K31" i="3"/>
  <c r="F19" i="8"/>
  <c r="C31" i="3"/>
  <c r="H36" i="5"/>
  <c r="J7" i="6" s="1"/>
  <c r="H43" i="5"/>
  <c r="F46" i="5"/>
  <c r="H101" i="5"/>
  <c r="AF15" i="21"/>
  <c r="AT18" i="18"/>
  <c r="E136" i="7" s="1"/>
  <c r="E130" i="8" s="1"/>
  <c r="AD18" i="18"/>
  <c r="M53" i="7" s="1"/>
  <c r="M51" i="8" s="1"/>
  <c r="C34" i="3"/>
  <c r="E44" i="3"/>
  <c r="K33" i="3"/>
  <c r="D25" i="3"/>
  <c r="D49" i="3" s="1"/>
  <c r="AX44" i="2"/>
  <c r="D97" i="8"/>
  <c r="D144" i="7"/>
  <c r="C40" i="3"/>
  <c r="C44" i="3" s="1"/>
  <c r="G40" i="3"/>
  <c r="F11" i="25"/>
  <c r="G10" i="8"/>
  <c r="L89" i="8"/>
  <c r="L90" i="8" s="1"/>
  <c r="L98" i="7"/>
  <c r="C11" i="25"/>
  <c r="D10" i="8"/>
  <c r="BD19" i="18"/>
  <c r="J16" i="6" s="1"/>
  <c r="C183" i="7"/>
  <c r="H19" i="18"/>
  <c r="F16" i="6" s="1"/>
  <c r="C10" i="7"/>
  <c r="L130" i="8"/>
  <c r="L137" i="7"/>
  <c r="H98" i="7"/>
  <c r="H89" i="8"/>
  <c r="H90" i="8" s="1"/>
  <c r="L11" i="25"/>
  <c r="L12" i="25" s="1"/>
  <c r="M10" i="8"/>
  <c r="M11" i="8" s="1"/>
  <c r="M11" i="7"/>
  <c r="K10" i="8"/>
  <c r="K11" i="25"/>
  <c r="L10" i="8"/>
  <c r="E11" i="25"/>
  <c r="F10" i="8"/>
  <c r="D11" i="25"/>
  <c r="E10" i="8"/>
  <c r="M11" i="25"/>
  <c r="M12" i="25" s="1"/>
  <c r="N10" i="8"/>
  <c r="N11" i="8" s="1"/>
  <c r="N11" i="7"/>
  <c r="AR19" i="18"/>
  <c r="I16" i="6" s="1"/>
  <c r="C136" i="7"/>
  <c r="AF19" i="18"/>
  <c r="H16" i="6" s="1"/>
  <c r="C97" i="7"/>
  <c r="N19" i="25"/>
  <c r="K130" i="8"/>
  <c r="K131" i="8" s="1"/>
  <c r="K137" i="7"/>
  <c r="G89" i="8"/>
  <c r="G90" i="8" s="1"/>
  <c r="G98" i="7"/>
  <c r="T19" i="18"/>
  <c r="G16" i="6" s="1"/>
  <c r="C53" i="7"/>
  <c r="F130" i="8"/>
  <c r="F131" i="8" s="1"/>
  <c r="F137" i="7"/>
  <c r="I11" i="25"/>
  <c r="J10" i="8"/>
  <c r="BJ29" i="16"/>
  <c r="H182" i="7"/>
  <c r="K88" i="8"/>
  <c r="K90" i="8" s="1"/>
  <c r="K98" i="7"/>
  <c r="C10" i="25"/>
  <c r="D11" i="7"/>
  <c r="D9" i="8"/>
  <c r="D11" i="8" s="1"/>
  <c r="AU29" i="16"/>
  <c r="E135" i="7"/>
  <c r="BK29" i="16"/>
  <c r="I182" i="7"/>
  <c r="I184" i="7" s="1"/>
  <c r="AS29" i="16"/>
  <c r="AS15" i="16"/>
  <c r="I15" i="6" s="1"/>
  <c r="I18" i="6" s="1"/>
  <c r="C135" i="7"/>
  <c r="F10" i="25"/>
  <c r="F12" i="25" s="1"/>
  <c r="G9" i="8"/>
  <c r="G11" i="7"/>
  <c r="H11" i="25"/>
  <c r="I10" i="8"/>
  <c r="L171" i="8"/>
  <c r="L172" i="8" s="1"/>
  <c r="L184" i="7"/>
  <c r="BH29" i="16"/>
  <c r="F182" i="7"/>
  <c r="F184" i="7" s="1"/>
  <c r="AG15" i="16"/>
  <c r="H15" i="6" s="1"/>
  <c r="I50" i="8"/>
  <c r="I52" i="8" s="1"/>
  <c r="I54" i="7"/>
  <c r="AB29" i="16"/>
  <c r="J52" i="7"/>
  <c r="D50" i="8"/>
  <c r="D52" i="8" s="1"/>
  <c r="D54" i="7"/>
  <c r="N38" i="13"/>
  <c r="BT30" i="13"/>
  <c r="BT38" i="13" s="1"/>
  <c r="BP30" i="13"/>
  <c r="BP38" i="13" s="1"/>
  <c r="BL30" i="13"/>
  <c r="BL38" i="13" s="1"/>
  <c r="BH30" i="13"/>
  <c r="BH38" i="13" s="1"/>
  <c r="BD30" i="13"/>
  <c r="BD38" i="13" s="1"/>
  <c r="AZ30" i="13"/>
  <c r="AZ38" i="13" s="1"/>
  <c r="AV30" i="13"/>
  <c r="AV38" i="13" s="1"/>
  <c r="AR30" i="13"/>
  <c r="AR38" i="13" s="1"/>
  <c r="AN30" i="13"/>
  <c r="AN38" i="13" s="1"/>
  <c r="AJ30" i="13"/>
  <c r="AJ38" i="13" s="1"/>
  <c r="AF30" i="13"/>
  <c r="AF38" i="13" s="1"/>
  <c r="AB30" i="13"/>
  <c r="AB38" i="13" s="1"/>
  <c r="X30" i="13"/>
  <c r="X38" i="13" s="1"/>
  <c r="T30" i="13"/>
  <c r="T38" i="13" s="1"/>
  <c r="P30" i="13"/>
  <c r="P38" i="13" s="1"/>
  <c r="BS30" i="13"/>
  <c r="BS38" i="13" s="1"/>
  <c r="BO30" i="13"/>
  <c r="BO38" i="13" s="1"/>
  <c r="BK30" i="13"/>
  <c r="BK38" i="13" s="1"/>
  <c r="BG30" i="13"/>
  <c r="BG38" i="13" s="1"/>
  <c r="BC30" i="13"/>
  <c r="BC38" i="13" s="1"/>
  <c r="AY30" i="13"/>
  <c r="AY38" i="13" s="1"/>
  <c r="AU30" i="13"/>
  <c r="AU38" i="13" s="1"/>
  <c r="AQ30" i="13"/>
  <c r="AQ38" i="13" s="1"/>
  <c r="AM30" i="13"/>
  <c r="AM38" i="13" s="1"/>
  <c r="AI30" i="13"/>
  <c r="AI38" i="13" s="1"/>
  <c r="AE30" i="13"/>
  <c r="AE38" i="13" s="1"/>
  <c r="AA30" i="13"/>
  <c r="AA38" i="13" s="1"/>
  <c r="W30" i="13"/>
  <c r="W38" i="13" s="1"/>
  <c r="S30" i="13"/>
  <c r="S38" i="13" s="1"/>
  <c r="O30" i="13"/>
  <c r="O38" i="13" s="1"/>
  <c r="BU30" i="13"/>
  <c r="BU38" i="13" s="1"/>
  <c r="BM30" i="13"/>
  <c r="BM38" i="13" s="1"/>
  <c r="BE30" i="13"/>
  <c r="BE38" i="13" s="1"/>
  <c r="AW30" i="13"/>
  <c r="AW38" i="13" s="1"/>
  <c r="AO30" i="13"/>
  <c r="AO38" i="13" s="1"/>
  <c r="AG30" i="13"/>
  <c r="AG38" i="13" s="1"/>
  <c r="Y30" i="13"/>
  <c r="Y38" i="13" s="1"/>
  <c r="Q30" i="13"/>
  <c r="Q38" i="13" s="1"/>
  <c r="BR30" i="13"/>
  <c r="BR38" i="13" s="1"/>
  <c r="BJ30" i="13"/>
  <c r="BJ38" i="13" s="1"/>
  <c r="BB30" i="13"/>
  <c r="BB38" i="13" s="1"/>
  <c r="AT30" i="13"/>
  <c r="AT38" i="13" s="1"/>
  <c r="AL30" i="13"/>
  <c r="AL38" i="13" s="1"/>
  <c r="AD30" i="13"/>
  <c r="AD38" i="13" s="1"/>
  <c r="V30" i="13"/>
  <c r="V38" i="13" s="1"/>
  <c r="BQ30" i="13"/>
  <c r="BQ38" i="13" s="1"/>
  <c r="BI30" i="13"/>
  <c r="BI38" i="13" s="1"/>
  <c r="BA30" i="13"/>
  <c r="BA38" i="13" s="1"/>
  <c r="AS30" i="13"/>
  <c r="AS38" i="13" s="1"/>
  <c r="AK30" i="13"/>
  <c r="AK38" i="13" s="1"/>
  <c r="AC30" i="13"/>
  <c r="AC38" i="13" s="1"/>
  <c r="U30" i="13"/>
  <c r="U38" i="13" s="1"/>
  <c r="AX30" i="13"/>
  <c r="AX38" i="13" s="1"/>
  <c r="R30" i="13"/>
  <c r="R38" i="13" s="1"/>
  <c r="BV30" i="13"/>
  <c r="BV38" i="13" s="1"/>
  <c r="AP30" i="13"/>
  <c r="AP38" i="13" s="1"/>
  <c r="BN30" i="13"/>
  <c r="BN38" i="13" s="1"/>
  <c r="AH30" i="13"/>
  <c r="AH38" i="13" s="1"/>
  <c r="Z30" i="13"/>
  <c r="Z38" i="13" s="1"/>
  <c r="BF30" i="13"/>
  <c r="BF38" i="13" s="1"/>
  <c r="E52" i="7"/>
  <c r="O28" i="16"/>
  <c r="O29" i="16" s="1"/>
  <c r="O22" i="16"/>
  <c r="BV29" i="13"/>
  <c r="BR29" i="13"/>
  <c r="BN29" i="13"/>
  <c r="N37" i="13"/>
  <c r="BU29" i="13"/>
  <c r="BQ29" i="13"/>
  <c r="BS29" i="13"/>
  <c r="BL29" i="13"/>
  <c r="BH29" i="13"/>
  <c r="BD29" i="13"/>
  <c r="AZ29" i="13"/>
  <c r="AV29" i="13"/>
  <c r="AR29" i="13"/>
  <c r="AN29" i="13"/>
  <c r="AJ29" i="13"/>
  <c r="AF29" i="13"/>
  <c r="AB29" i="13"/>
  <c r="X29" i="13"/>
  <c r="T29" i="13"/>
  <c r="P29" i="13"/>
  <c r="BP29" i="13"/>
  <c r="BK29" i="13"/>
  <c r="BG29" i="13"/>
  <c r="BC29" i="13"/>
  <c r="AY29" i="13"/>
  <c r="AU29" i="13"/>
  <c r="AQ29" i="13"/>
  <c r="AM29" i="13"/>
  <c r="AI29" i="13"/>
  <c r="AE29" i="13"/>
  <c r="AA29" i="13"/>
  <c r="W29" i="13"/>
  <c r="S29" i="13"/>
  <c r="O29" i="13"/>
  <c r="BO29" i="13"/>
  <c r="BJ29" i="13"/>
  <c r="BF29" i="13"/>
  <c r="BB29" i="13"/>
  <c r="AX29" i="13"/>
  <c r="AT29" i="13"/>
  <c r="AP29" i="13"/>
  <c r="AL29" i="13"/>
  <c r="AH29" i="13"/>
  <c r="AD29" i="13"/>
  <c r="Z29" i="13"/>
  <c r="V29" i="13"/>
  <c r="R29" i="13"/>
  <c r="BI29" i="13"/>
  <c r="AS29" i="13"/>
  <c r="AC29" i="13"/>
  <c r="BE29" i="13"/>
  <c r="AO29" i="13"/>
  <c r="Y29" i="13"/>
  <c r="BT29" i="13"/>
  <c r="BA29" i="13"/>
  <c r="AK29" i="13"/>
  <c r="U29" i="13"/>
  <c r="AG29" i="13"/>
  <c r="Q29" i="13"/>
  <c r="AW29" i="13"/>
  <c r="BM29" i="13"/>
  <c r="AM15" i="10"/>
  <c r="AL15" i="10"/>
  <c r="AL9" i="10"/>
  <c r="AF9" i="10"/>
  <c r="AG15" i="10"/>
  <c r="AF15" i="10"/>
  <c r="BL9" i="10"/>
  <c r="BM15" i="10"/>
  <c r="BL15" i="10"/>
  <c r="CS15" i="10"/>
  <c r="CR9" i="10"/>
  <c r="CR15" i="10"/>
  <c r="DY15" i="10"/>
  <c r="DX9" i="10"/>
  <c r="DX15" i="10"/>
  <c r="AA15" i="10"/>
  <c r="Z9" i="10"/>
  <c r="Z15" i="10"/>
  <c r="BG15" i="10"/>
  <c r="BF9" i="10"/>
  <c r="BF15" i="10"/>
  <c r="CL15" i="10"/>
  <c r="CL9" i="10"/>
  <c r="CM15" i="10"/>
  <c r="DR15" i="10"/>
  <c r="DR9" i="10"/>
  <c r="DS15" i="10"/>
  <c r="AC15" i="10"/>
  <c r="AB9" i="10"/>
  <c r="AB15" i="10"/>
  <c r="BI15" i="10"/>
  <c r="BH9" i="10"/>
  <c r="BH15" i="10"/>
  <c r="CO15" i="10"/>
  <c r="CN15" i="10"/>
  <c r="CN9" i="10"/>
  <c r="DU15" i="10"/>
  <c r="DT15" i="10"/>
  <c r="DT9" i="10"/>
  <c r="BK15" i="10"/>
  <c r="BJ15" i="10"/>
  <c r="BJ9" i="10"/>
  <c r="Q175" i="8"/>
  <c r="CH16" i="10"/>
  <c r="CI16" i="10"/>
  <c r="CP16" i="10"/>
  <c r="CQ16" i="10"/>
  <c r="Y16" i="10"/>
  <c r="X16" i="10"/>
  <c r="BE16" i="10"/>
  <c r="BD16" i="10"/>
  <c r="CK16" i="10"/>
  <c r="CJ16" i="10"/>
  <c r="DQ16" i="10"/>
  <c r="DP16" i="10"/>
  <c r="Z16" i="10"/>
  <c r="AA16" i="10"/>
  <c r="BF16" i="10"/>
  <c r="BG16" i="10"/>
  <c r="CL16" i="10"/>
  <c r="CM16" i="10"/>
  <c r="DR16" i="10"/>
  <c r="DS16" i="10"/>
  <c r="AC16" i="10"/>
  <c r="AB16" i="10"/>
  <c r="BI16" i="10"/>
  <c r="BH16" i="10"/>
  <c r="CO16" i="10"/>
  <c r="CN16" i="10"/>
  <c r="DU16" i="10"/>
  <c r="DT16" i="10"/>
  <c r="O17" i="8"/>
  <c r="Q14" i="8"/>
  <c r="Q17" i="8" s="1"/>
  <c r="E97" i="8"/>
  <c r="E144" i="7"/>
  <c r="F105" i="7"/>
  <c r="G15" i="3"/>
  <c r="G21" i="25"/>
  <c r="H19" i="8"/>
  <c r="L21" i="25"/>
  <c r="M19" i="8"/>
  <c r="BJ17" i="10"/>
  <c r="BK17" i="10"/>
  <c r="BZ17" i="10"/>
  <c r="CA17" i="10"/>
  <c r="CH17" i="10"/>
  <c r="CI17" i="10"/>
  <c r="Y17" i="10"/>
  <c r="X17" i="10"/>
  <c r="BE17" i="10"/>
  <c r="BD17" i="10"/>
  <c r="CK17" i="10"/>
  <c r="CJ17" i="10"/>
  <c r="DQ17" i="10"/>
  <c r="DP17" i="10"/>
  <c r="Z17" i="10"/>
  <c r="AA17" i="10"/>
  <c r="BF17" i="10"/>
  <c r="BG17" i="10"/>
  <c r="CL17" i="10"/>
  <c r="CM17" i="10"/>
  <c r="DR17" i="10"/>
  <c r="DS17" i="10"/>
  <c r="AC17" i="10"/>
  <c r="AB17" i="10"/>
  <c r="BI17" i="10"/>
  <c r="BH17" i="10"/>
  <c r="CO17" i="10"/>
  <c r="CN17" i="10"/>
  <c r="DU17" i="10"/>
  <c r="DT17" i="10"/>
  <c r="H108" i="8"/>
  <c r="I116" i="7"/>
  <c r="G50" i="5"/>
  <c r="K49" i="2"/>
  <c r="E19" i="3"/>
  <c r="AX25" i="2"/>
  <c r="F136" i="8"/>
  <c r="G75" i="5"/>
  <c r="G101" i="5" s="1"/>
  <c r="G36" i="5"/>
  <c r="I7" i="6" s="1"/>
  <c r="P31" i="25"/>
  <c r="H10" i="25"/>
  <c r="I9" i="8"/>
  <c r="I11" i="7"/>
  <c r="AN9" i="10"/>
  <c r="AO15" i="10"/>
  <c r="AN15" i="10"/>
  <c r="DA15" i="10"/>
  <c r="CZ9" i="10"/>
  <c r="CZ15" i="10"/>
  <c r="AI15" i="10"/>
  <c r="AH9" i="10"/>
  <c r="AH15" i="10"/>
  <c r="CT15" i="10"/>
  <c r="CT9" i="10"/>
  <c r="CU15" i="10"/>
  <c r="CU18" i="10" s="1"/>
  <c r="AK15" i="10"/>
  <c r="AJ15" i="10"/>
  <c r="AJ9" i="10"/>
  <c r="BQ15" i="10"/>
  <c r="BP15" i="10"/>
  <c r="BP9" i="10"/>
  <c r="CW15" i="10"/>
  <c r="CV15" i="10"/>
  <c r="CV18" i="10" s="1"/>
  <c r="CV9" i="10"/>
  <c r="DN16" i="10"/>
  <c r="DO16" i="10"/>
  <c r="AG16" i="10"/>
  <c r="AF16" i="10"/>
  <c r="CS16" i="10"/>
  <c r="CR16" i="10"/>
  <c r="AH16" i="10"/>
  <c r="AI16" i="10"/>
  <c r="CT16" i="10"/>
  <c r="CU16" i="10"/>
  <c r="AK16" i="10"/>
  <c r="AJ16" i="10"/>
  <c r="CW16" i="10"/>
  <c r="CV16" i="10"/>
  <c r="K172" i="8"/>
  <c r="E4" i="3"/>
  <c r="E8" i="3" s="1"/>
  <c r="BR17" i="10"/>
  <c r="BS17" i="10"/>
  <c r="DN9" i="10"/>
  <c r="D18" i="4"/>
  <c r="E16" i="1"/>
  <c r="F18" i="3"/>
  <c r="G18" i="3" s="1"/>
  <c r="T18" i="2"/>
  <c r="AD17" i="10"/>
  <c r="AE17" i="10"/>
  <c r="C137" i="8"/>
  <c r="C188" i="7"/>
  <c r="K21" i="25"/>
  <c r="L19" i="8"/>
  <c r="DV17" i="10"/>
  <c r="DW17" i="10"/>
  <c r="DN17" i="10"/>
  <c r="DO17" i="10"/>
  <c r="BM17" i="10"/>
  <c r="BL17" i="10"/>
  <c r="CS17" i="10"/>
  <c r="CR17" i="10"/>
  <c r="AH17" i="10"/>
  <c r="AI17" i="10"/>
  <c r="CT17" i="10"/>
  <c r="CU17" i="10"/>
  <c r="AK17" i="10"/>
  <c r="AJ17" i="10"/>
  <c r="CW17" i="10"/>
  <c r="CV17" i="10"/>
  <c r="E21" i="3"/>
  <c r="I14" i="3"/>
  <c r="F50" i="5"/>
  <c r="G5" i="3"/>
  <c r="K14" i="3"/>
  <c r="E23" i="3"/>
  <c r="D17" i="4"/>
  <c r="D25" i="4" s="1"/>
  <c r="T17" i="2"/>
  <c r="D23" i="1"/>
  <c r="D44" i="1" s="1"/>
  <c r="E15" i="1"/>
  <c r="F17" i="3"/>
  <c r="H46" i="5"/>
  <c r="BD15" i="21"/>
  <c r="X15" i="21"/>
  <c r="G11" i="25"/>
  <c r="H10" i="8"/>
  <c r="AZ15" i="21"/>
  <c r="AW16" i="21" s="1"/>
  <c r="T15" i="21"/>
  <c r="AP15" i="21"/>
  <c r="BF15" i="21"/>
  <c r="AU15" i="21"/>
  <c r="BK15" i="21"/>
  <c r="AZ29" i="16"/>
  <c r="J135" i="7"/>
  <c r="K10" i="25"/>
  <c r="K12" i="25" s="1"/>
  <c r="L11" i="7"/>
  <c r="L9" i="8"/>
  <c r="L11" i="8" s="1"/>
  <c r="I88" i="8"/>
  <c r="I90" i="8" s="1"/>
  <c r="I98" i="7"/>
  <c r="BC29" i="16"/>
  <c r="M135" i="7"/>
  <c r="BD29" i="16"/>
  <c r="N135" i="7"/>
  <c r="D88" i="8"/>
  <c r="D98" i="7"/>
  <c r="I10" i="25"/>
  <c r="J11" i="7"/>
  <c r="J9" i="8"/>
  <c r="J11" i="8" s="1"/>
  <c r="G50" i="8"/>
  <c r="G52" i="8" s="1"/>
  <c r="G54" i="7"/>
  <c r="AD29" i="16"/>
  <c r="L52" i="7"/>
  <c r="D10" i="25"/>
  <c r="D12" i="25" s="1"/>
  <c r="E11" i="7"/>
  <c r="E9" i="8"/>
  <c r="E11" i="8" s="1"/>
  <c r="N17" i="13"/>
  <c r="BS8" i="13"/>
  <c r="BS17" i="13" s="1"/>
  <c r="BO8" i="13"/>
  <c r="BO17" i="13" s="1"/>
  <c r="BK8" i="13"/>
  <c r="BK17" i="13" s="1"/>
  <c r="BG8" i="13"/>
  <c r="BG17" i="13" s="1"/>
  <c r="BC8" i="13"/>
  <c r="BC17" i="13" s="1"/>
  <c r="AY8" i="13"/>
  <c r="AY17" i="13" s="1"/>
  <c r="AU8" i="13"/>
  <c r="AU17" i="13" s="1"/>
  <c r="AQ8" i="13"/>
  <c r="AQ17" i="13" s="1"/>
  <c r="AM8" i="13"/>
  <c r="AM17" i="13" s="1"/>
  <c r="AI8" i="13"/>
  <c r="AI17" i="13" s="1"/>
  <c r="AE8" i="13"/>
  <c r="AE17" i="13" s="1"/>
  <c r="AA8" i="13"/>
  <c r="AA17" i="13" s="1"/>
  <c r="W8" i="13"/>
  <c r="W17" i="13" s="1"/>
  <c r="S8" i="13"/>
  <c r="S17" i="13" s="1"/>
  <c r="O8" i="13"/>
  <c r="O17" i="13" s="1"/>
  <c r="BV8" i="13"/>
  <c r="BV17" i="13" s="1"/>
  <c r="BR8" i="13"/>
  <c r="BR17" i="13" s="1"/>
  <c r="BN8" i="13"/>
  <c r="BN17" i="13" s="1"/>
  <c r="BJ8" i="13"/>
  <c r="BJ17" i="13" s="1"/>
  <c r="BF8" i="13"/>
  <c r="BF17" i="13" s="1"/>
  <c r="BB8" i="13"/>
  <c r="BB17" i="13" s="1"/>
  <c r="AX8" i="13"/>
  <c r="AX17" i="13" s="1"/>
  <c r="AT8" i="13"/>
  <c r="AT17" i="13" s="1"/>
  <c r="AP8" i="13"/>
  <c r="AP17" i="13" s="1"/>
  <c r="AL8" i="13"/>
  <c r="AL17" i="13" s="1"/>
  <c r="AH8" i="13"/>
  <c r="AH17" i="13" s="1"/>
  <c r="AD8" i="13"/>
  <c r="AD17" i="13" s="1"/>
  <c r="Z8" i="13"/>
  <c r="Z17" i="13" s="1"/>
  <c r="V8" i="13"/>
  <c r="V17" i="13" s="1"/>
  <c r="R8" i="13"/>
  <c r="R17" i="13" s="1"/>
  <c r="BU8" i="13"/>
  <c r="BU17" i="13" s="1"/>
  <c r="BQ8" i="13"/>
  <c r="BQ17" i="13" s="1"/>
  <c r="BM8" i="13"/>
  <c r="BM17" i="13" s="1"/>
  <c r="BI8" i="13"/>
  <c r="BI17" i="13" s="1"/>
  <c r="BE8" i="13"/>
  <c r="BE17" i="13" s="1"/>
  <c r="BA8" i="13"/>
  <c r="BA17" i="13" s="1"/>
  <c r="AW8" i="13"/>
  <c r="AW17" i="13" s="1"/>
  <c r="AS8" i="13"/>
  <c r="AS17" i="13" s="1"/>
  <c r="AO8" i="13"/>
  <c r="AO17" i="13" s="1"/>
  <c r="AK8" i="13"/>
  <c r="AK17" i="13" s="1"/>
  <c r="AG8" i="13"/>
  <c r="AG17" i="13" s="1"/>
  <c r="AC8" i="13"/>
  <c r="AC17" i="13" s="1"/>
  <c r="Y8" i="13"/>
  <c r="Y17" i="13" s="1"/>
  <c r="U8" i="13"/>
  <c r="U17" i="13" s="1"/>
  <c r="Q8" i="13"/>
  <c r="Q17" i="13" s="1"/>
  <c r="BH8" i="13"/>
  <c r="BH17" i="13" s="1"/>
  <c r="AR8" i="13"/>
  <c r="AR17" i="13" s="1"/>
  <c r="AB8" i="13"/>
  <c r="AB17" i="13" s="1"/>
  <c r="BT8" i="13"/>
  <c r="BT17" i="13" s="1"/>
  <c r="BD8" i="13"/>
  <c r="BD17" i="13" s="1"/>
  <c r="AN8" i="13"/>
  <c r="AN17" i="13" s="1"/>
  <c r="X8" i="13"/>
  <c r="X17" i="13" s="1"/>
  <c r="BP8" i="13"/>
  <c r="BP17" i="13" s="1"/>
  <c r="AZ8" i="13"/>
  <c r="AZ17" i="13" s="1"/>
  <c r="AJ8" i="13"/>
  <c r="AJ17" i="13" s="1"/>
  <c r="T8" i="13"/>
  <c r="T17" i="13" s="1"/>
  <c r="P8" i="13"/>
  <c r="P17" i="13" s="1"/>
  <c r="BL8" i="13"/>
  <c r="BL17" i="13" s="1"/>
  <c r="AF8" i="13"/>
  <c r="AF17" i="13" s="1"/>
  <c r="AV8" i="13"/>
  <c r="AV17" i="13" s="1"/>
  <c r="CX15" i="10"/>
  <c r="CX9" i="10"/>
  <c r="CY15" i="10"/>
  <c r="P9" i="10"/>
  <c r="Q15" i="10"/>
  <c r="P15" i="10"/>
  <c r="AV9" i="10"/>
  <c r="AW15" i="10"/>
  <c r="AV15" i="10"/>
  <c r="CC15" i="10"/>
  <c r="CB9" i="10"/>
  <c r="CB15" i="10"/>
  <c r="DI15" i="10"/>
  <c r="DH9" i="10"/>
  <c r="DH15" i="10"/>
  <c r="AQ15" i="10"/>
  <c r="AP9" i="10"/>
  <c r="AP15" i="10"/>
  <c r="BV15" i="10"/>
  <c r="BV9" i="10"/>
  <c r="BW15" i="10"/>
  <c r="DB15" i="10"/>
  <c r="DB9" i="10"/>
  <c r="DC15" i="10"/>
  <c r="M15" i="10"/>
  <c r="L9" i="10"/>
  <c r="L15" i="10"/>
  <c r="AS15" i="10"/>
  <c r="AS18" i="10" s="1"/>
  <c r="AR9" i="10"/>
  <c r="AR15" i="10"/>
  <c r="BY15" i="10"/>
  <c r="BX15" i="10"/>
  <c r="BX9" i="10"/>
  <c r="DE15" i="10"/>
  <c r="DD15" i="10"/>
  <c r="DD9" i="10"/>
  <c r="V16" i="10"/>
  <c r="W16" i="10"/>
  <c r="AD16" i="10"/>
  <c r="AE16" i="10"/>
  <c r="AO16" i="10"/>
  <c r="AN16" i="10"/>
  <c r="BU16" i="10"/>
  <c r="BT16" i="10"/>
  <c r="DA16" i="10"/>
  <c r="CZ16" i="10"/>
  <c r="AP16" i="10"/>
  <c r="AQ16" i="10"/>
  <c r="BV16" i="10"/>
  <c r="BW16" i="10"/>
  <c r="DB16" i="10"/>
  <c r="DC16" i="10"/>
  <c r="M16" i="10"/>
  <c r="L16" i="10"/>
  <c r="AS16" i="10"/>
  <c r="AR16" i="10"/>
  <c r="BY16" i="10"/>
  <c r="BX16" i="10"/>
  <c r="DE16" i="10"/>
  <c r="DD16" i="10"/>
  <c r="CH9" i="10"/>
  <c r="L131" i="8"/>
  <c r="J21" i="25"/>
  <c r="K19" i="8"/>
  <c r="K21" i="3"/>
  <c r="C22" i="3"/>
  <c r="I13" i="3"/>
  <c r="E32" i="3"/>
  <c r="E34" i="3" s="1"/>
  <c r="J184" i="7"/>
  <c r="C21" i="3"/>
  <c r="D21" i="25"/>
  <c r="E19" i="8"/>
  <c r="AL17" i="10"/>
  <c r="AM17" i="10"/>
  <c r="N17" i="10"/>
  <c r="O17" i="10"/>
  <c r="V17" i="10"/>
  <c r="W17" i="10"/>
  <c r="AO17" i="10"/>
  <c r="AN17" i="10"/>
  <c r="BU17" i="10"/>
  <c r="BT17" i="10"/>
  <c r="DA17" i="10"/>
  <c r="CZ17" i="10"/>
  <c r="AP17" i="10"/>
  <c r="AQ17" i="10"/>
  <c r="BV17" i="10"/>
  <c r="BW17" i="10"/>
  <c r="DB17" i="10"/>
  <c r="DC17" i="10"/>
  <c r="M17" i="10"/>
  <c r="L17" i="10"/>
  <c r="AS17" i="10"/>
  <c r="AR17" i="10"/>
  <c r="BY17" i="10"/>
  <c r="BX17" i="10"/>
  <c r="DE17" i="10"/>
  <c r="DD17" i="10"/>
  <c r="G39" i="3"/>
  <c r="G44" i="3" s="1"/>
  <c r="F44" i="3"/>
  <c r="H39" i="3"/>
  <c r="C5" i="3"/>
  <c r="F52" i="5"/>
  <c r="D85" i="5"/>
  <c r="D101" i="5" s="1"/>
  <c r="E52" i="5"/>
  <c r="H52" i="5"/>
  <c r="G52" i="5"/>
  <c r="D52" i="5"/>
  <c r="D68" i="5" s="1"/>
  <c r="F29" i="6" s="1"/>
  <c r="E50" i="5"/>
  <c r="E68" i="5" s="1"/>
  <c r="G29" i="6" s="1"/>
  <c r="H50" i="5"/>
  <c r="B49" i="3"/>
  <c r="C49" i="4"/>
  <c r="I22" i="3"/>
  <c r="H103" i="7"/>
  <c r="G142" i="7"/>
  <c r="G95" i="8"/>
  <c r="G45" i="5"/>
  <c r="G32" i="3"/>
  <c r="G34" i="3" s="1"/>
  <c r="K4" i="3"/>
  <c r="H45" i="5"/>
  <c r="F43" i="5"/>
  <c r="E101" i="5"/>
  <c r="H44" i="5"/>
  <c r="F45" i="5"/>
  <c r="E107" i="8"/>
  <c r="F115" i="7"/>
  <c r="P30" i="9"/>
  <c r="P32" i="9" s="1"/>
  <c r="J23" i="6"/>
  <c r="BH15" i="21"/>
  <c r="AB15" i="21"/>
  <c r="Y16" i="21" s="1"/>
  <c r="G137" i="7"/>
  <c r="G130" i="8"/>
  <c r="G131" i="8" s="1"/>
  <c r="BE29" i="16"/>
  <c r="BE15" i="16"/>
  <c r="J15" i="6" s="1"/>
  <c r="J18" i="6" s="1"/>
  <c r="C182" i="7"/>
  <c r="F98" i="7"/>
  <c r="F88" i="8"/>
  <c r="F90" i="8" s="1"/>
  <c r="AI29" i="16"/>
  <c r="E96" i="7"/>
  <c r="O96" i="7" s="1"/>
  <c r="AY29" i="16"/>
  <c r="I135" i="7"/>
  <c r="BO29" i="16"/>
  <c r="M182" i="7"/>
  <c r="M184" i="7" s="1"/>
  <c r="BV31" i="13"/>
  <c r="BV39" i="13" s="1"/>
  <c r="BR31" i="13"/>
  <c r="BR39" i="13" s="1"/>
  <c r="BN31" i="13"/>
  <c r="BN39" i="13" s="1"/>
  <c r="BJ31" i="13"/>
  <c r="BJ39" i="13" s="1"/>
  <c r="BF31" i="13"/>
  <c r="BF39" i="13" s="1"/>
  <c r="BB31" i="13"/>
  <c r="BB39" i="13" s="1"/>
  <c r="AX31" i="13"/>
  <c r="AX39" i="13" s="1"/>
  <c r="AT31" i="13"/>
  <c r="AT39" i="13" s="1"/>
  <c r="AP31" i="13"/>
  <c r="AP39" i="13" s="1"/>
  <c r="AL31" i="13"/>
  <c r="AL39" i="13" s="1"/>
  <c r="AH31" i="13"/>
  <c r="AH39" i="13" s="1"/>
  <c r="AD31" i="13"/>
  <c r="AD39" i="13" s="1"/>
  <c r="Z31" i="13"/>
  <c r="Z39" i="13" s="1"/>
  <c r="V31" i="13"/>
  <c r="V39" i="13" s="1"/>
  <c r="R31" i="13"/>
  <c r="R39" i="13" s="1"/>
  <c r="BU31" i="13"/>
  <c r="BU39" i="13" s="1"/>
  <c r="BQ31" i="13"/>
  <c r="BQ39" i="13" s="1"/>
  <c r="BM31" i="13"/>
  <c r="BM39" i="13" s="1"/>
  <c r="BI31" i="13"/>
  <c r="BI39" i="13" s="1"/>
  <c r="BE31" i="13"/>
  <c r="BE39" i="13" s="1"/>
  <c r="BA31" i="13"/>
  <c r="BA39" i="13" s="1"/>
  <c r="AW31" i="13"/>
  <c r="AW39" i="13" s="1"/>
  <c r="AS31" i="13"/>
  <c r="AS39" i="13" s="1"/>
  <c r="AO31" i="13"/>
  <c r="AO39" i="13" s="1"/>
  <c r="AK31" i="13"/>
  <c r="AK39" i="13" s="1"/>
  <c r="AG31" i="13"/>
  <c r="AG39" i="13" s="1"/>
  <c r="AC31" i="13"/>
  <c r="AC39" i="13" s="1"/>
  <c r="Y31" i="13"/>
  <c r="Y39" i="13" s="1"/>
  <c r="U31" i="13"/>
  <c r="U39" i="13" s="1"/>
  <c r="Q31" i="13"/>
  <c r="Q39" i="13" s="1"/>
  <c r="BT31" i="13"/>
  <c r="BT39" i="13" s="1"/>
  <c r="BL31" i="13"/>
  <c r="BL39" i="13" s="1"/>
  <c r="BD31" i="13"/>
  <c r="BD39" i="13" s="1"/>
  <c r="AV31" i="13"/>
  <c r="AV39" i="13" s="1"/>
  <c r="AN31" i="13"/>
  <c r="AN39" i="13" s="1"/>
  <c r="AF31" i="13"/>
  <c r="AF39" i="13" s="1"/>
  <c r="X31" i="13"/>
  <c r="X39" i="13" s="1"/>
  <c r="P31" i="13"/>
  <c r="P39" i="13" s="1"/>
  <c r="N39" i="13"/>
  <c r="BS31" i="13"/>
  <c r="BS39" i="13" s="1"/>
  <c r="BK31" i="13"/>
  <c r="BK39" i="13" s="1"/>
  <c r="BC31" i="13"/>
  <c r="BC39" i="13" s="1"/>
  <c r="AU31" i="13"/>
  <c r="AU39" i="13" s="1"/>
  <c r="AM31" i="13"/>
  <c r="AM39" i="13" s="1"/>
  <c r="AE31" i="13"/>
  <c r="AE39" i="13" s="1"/>
  <c r="W31" i="13"/>
  <c r="W39" i="13" s="1"/>
  <c r="O31" i="13"/>
  <c r="O39" i="13" s="1"/>
  <c r="BP31" i="13"/>
  <c r="BP39" i="13" s="1"/>
  <c r="BH31" i="13"/>
  <c r="BH39" i="13" s="1"/>
  <c r="AZ31" i="13"/>
  <c r="AZ39" i="13" s="1"/>
  <c r="AR31" i="13"/>
  <c r="AR39" i="13" s="1"/>
  <c r="AJ31" i="13"/>
  <c r="AJ39" i="13" s="1"/>
  <c r="AB31" i="13"/>
  <c r="AB39" i="13" s="1"/>
  <c r="T31" i="13"/>
  <c r="T39" i="13" s="1"/>
  <c r="AQ31" i="13"/>
  <c r="AQ39" i="13" s="1"/>
  <c r="BO31" i="13"/>
  <c r="BO39" i="13" s="1"/>
  <c r="AI31" i="13"/>
  <c r="AI39" i="13" s="1"/>
  <c r="BG31" i="13"/>
  <c r="BG39" i="13" s="1"/>
  <c r="AA31" i="13"/>
  <c r="AA39" i="13" s="1"/>
  <c r="AY31" i="13"/>
  <c r="AY39" i="13" s="1"/>
  <c r="S31" i="13"/>
  <c r="S39" i="13" s="1"/>
  <c r="BI29" i="16"/>
  <c r="G182" i="7"/>
  <c r="G184" i="7" s="1"/>
  <c r="AN29" i="16"/>
  <c r="J96" i="7"/>
  <c r="I15" i="16"/>
  <c r="F15" i="6" s="1"/>
  <c r="C9" i="7"/>
  <c r="D171" i="8"/>
  <c r="D172" i="8" s="1"/>
  <c r="D184" i="7"/>
  <c r="BV7" i="13"/>
  <c r="BV16" i="13" s="1"/>
  <c r="BV19" i="13" s="1"/>
  <c r="N178" i="7" s="1"/>
  <c r="BR7" i="13"/>
  <c r="BR16" i="13" s="1"/>
  <c r="BN7" i="13"/>
  <c r="BN16" i="13" s="1"/>
  <c r="BN19" i="13" s="1"/>
  <c r="F178" i="7" s="1"/>
  <c r="BJ7" i="13"/>
  <c r="BJ16" i="13" s="1"/>
  <c r="BJ19" i="13" s="1"/>
  <c r="N131" i="7" s="1"/>
  <c r="BF7" i="13"/>
  <c r="BF16" i="13" s="1"/>
  <c r="BF19" i="13" s="1"/>
  <c r="J131" i="7" s="1"/>
  <c r="BB7" i="13"/>
  <c r="BB16" i="13" s="1"/>
  <c r="AX7" i="13"/>
  <c r="AX16" i="13" s="1"/>
  <c r="AX19" i="13" s="1"/>
  <c r="N92" i="7" s="1"/>
  <c r="AT7" i="13"/>
  <c r="AT16" i="13" s="1"/>
  <c r="AT19" i="13" s="1"/>
  <c r="J92" i="7" s="1"/>
  <c r="AP7" i="13"/>
  <c r="AP16" i="13" s="1"/>
  <c r="AP19" i="13" s="1"/>
  <c r="F92" i="7" s="1"/>
  <c r="AL7" i="13"/>
  <c r="AL16" i="13" s="1"/>
  <c r="AH7" i="13"/>
  <c r="AH16" i="13" s="1"/>
  <c r="AH19" i="13" s="1"/>
  <c r="J48" i="7" s="1"/>
  <c r="AD7" i="13"/>
  <c r="AD16" i="13" s="1"/>
  <c r="AD19" i="13" s="1"/>
  <c r="F48" i="7" s="1"/>
  <c r="Z7" i="13"/>
  <c r="Z16" i="13" s="1"/>
  <c r="Z19" i="13" s="1"/>
  <c r="N5" i="7" s="1"/>
  <c r="V7" i="13"/>
  <c r="V16" i="13" s="1"/>
  <c r="R7" i="13"/>
  <c r="R16" i="13" s="1"/>
  <c r="R19" i="13" s="1"/>
  <c r="F5" i="7" s="1"/>
  <c r="BU7" i="13"/>
  <c r="BU16" i="13" s="1"/>
  <c r="BU19" i="13" s="1"/>
  <c r="M178" i="7" s="1"/>
  <c r="BQ7" i="13"/>
  <c r="BQ16" i="13" s="1"/>
  <c r="BQ19" i="13" s="1"/>
  <c r="I178" i="7" s="1"/>
  <c r="BM7" i="13"/>
  <c r="BM16" i="13" s="1"/>
  <c r="BI7" i="13"/>
  <c r="BI16" i="13" s="1"/>
  <c r="BI19" i="13" s="1"/>
  <c r="M131" i="7" s="1"/>
  <c r="BE7" i="13"/>
  <c r="BE16" i="13" s="1"/>
  <c r="BE19" i="13" s="1"/>
  <c r="I131" i="7" s="1"/>
  <c r="BA7" i="13"/>
  <c r="BA16" i="13" s="1"/>
  <c r="BA19" i="13" s="1"/>
  <c r="E131" i="7" s="1"/>
  <c r="AW7" i="13"/>
  <c r="AW16" i="13" s="1"/>
  <c r="AS7" i="13"/>
  <c r="AS16" i="13" s="1"/>
  <c r="AS19" i="13" s="1"/>
  <c r="I92" i="7" s="1"/>
  <c r="AO7" i="13"/>
  <c r="AO16" i="13" s="1"/>
  <c r="AO19" i="13" s="1"/>
  <c r="E92" i="7" s="1"/>
  <c r="AK7" i="13"/>
  <c r="AK16" i="13" s="1"/>
  <c r="AK19" i="13" s="1"/>
  <c r="M48" i="7" s="1"/>
  <c r="AG7" i="13"/>
  <c r="AG16" i="13" s="1"/>
  <c r="AC7" i="13"/>
  <c r="AC16" i="13" s="1"/>
  <c r="AC19" i="13" s="1"/>
  <c r="E48" i="7" s="1"/>
  <c r="Y7" i="13"/>
  <c r="Y16" i="13" s="1"/>
  <c r="Y19" i="13" s="1"/>
  <c r="M5" i="7" s="1"/>
  <c r="U7" i="13"/>
  <c r="U16" i="13" s="1"/>
  <c r="U19" i="13" s="1"/>
  <c r="I5" i="7" s="1"/>
  <c r="Q7" i="13"/>
  <c r="Q16" i="13" s="1"/>
  <c r="BP7" i="13"/>
  <c r="BP16" i="13" s="1"/>
  <c r="BH7" i="13"/>
  <c r="BH16" i="13" s="1"/>
  <c r="BH19" i="13" s="1"/>
  <c r="L131" i="7" s="1"/>
  <c r="AZ7" i="13"/>
  <c r="AZ16" i="13" s="1"/>
  <c r="AZ19" i="13" s="1"/>
  <c r="D131" i="7" s="1"/>
  <c r="AR7" i="13"/>
  <c r="AR16" i="13" s="1"/>
  <c r="AJ7" i="13"/>
  <c r="AJ16" i="13" s="1"/>
  <c r="AJ19" i="13" s="1"/>
  <c r="L48" i="7" s="1"/>
  <c r="AB7" i="13"/>
  <c r="AB16" i="13" s="1"/>
  <c r="AB19" i="13" s="1"/>
  <c r="D48" i="7" s="1"/>
  <c r="T7" i="13"/>
  <c r="T16" i="13" s="1"/>
  <c r="T19" i="13" s="1"/>
  <c r="H5" i="7" s="1"/>
  <c r="N16" i="13"/>
  <c r="BO7" i="13"/>
  <c r="BO16" i="13" s="1"/>
  <c r="BO19" i="13" s="1"/>
  <c r="G178" i="7" s="1"/>
  <c r="BG7" i="13"/>
  <c r="BG16" i="13" s="1"/>
  <c r="BG19" i="13" s="1"/>
  <c r="K131" i="7" s="1"/>
  <c r="AY7" i="13"/>
  <c r="AY16" i="13" s="1"/>
  <c r="AY19" i="13" s="1"/>
  <c r="AQ7" i="13"/>
  <c r="AQ16" i="13" s="1"/>
  <c r="AI7" i="13"/>
  <c r="AI16" i="13" s="1"/>
  <c r="AI19" i="13" s="1"/>
  <c r="K48" i="7" s="1"/>
  <c r="AA7" i="13"/>
  <c r="AA16" i="13" s="1"/>
  <c r="AA19" i="13" s="1"/>
  <c r="S7" i="13"/>
  <c r="S16" i="13" s="1"/>
  <c r="S19" i="13" s="1"/>
  <c r="G5" i="7" s="1"/>
  <c r="BT7" i="13"/>
  <c r="BT16" i="13" s="1"/>
  <c r="BL7" i="13"/>
  <c r="BL16" i="13" s="1"/>
  <c r="BL19" i="13" s="1"/>
  <c r="D178" i="7" s="1"/>
  <c r="BD7" i="13"/>
  <c r="BD16" i="13" s="1"/>
  <c r="BD19" i="13" s="1"/>
  <c r="H131" i="7" s="1"/>
  <c r="AV7" i="13"/>
  <c r="AV16" i="13" s="1"/>
  <c r="AV19" i="13" s="1"/>
  <c r="L92" i="7" s="1"/>
  <c r="AN7" i="13"/>
  <c r="AN16" i="13" s="1"/>
  <c r="AF7" i="13"/>
  <c r="AF16" i="13" s="1"/>
  <c r="AF19" i="13" s="1"/>
  <c r="H48" i="7" s="1"/>
  <c r="X7" i="13"/>
  <c r="X16" i="13" s="1"/>
  <c r="X19" i="13" s="1"/>
  <c r="L5" i="7" s="1"/>
  <c r="P7" i="13"/>
  <c r="P16" i="13" s="1"/>
  <c r="P19" i="13" s="1"/>
  <c r="D5" i="7" s="1"/>
  <c r="BK7" i="13"/>
  <c r="BK16" i="13" s="1"/>
  <c r="AE7" i="13"/>
  <c r="AE16" i="13" s="1"/>
  <c r="AE19" i="13" s="1"/>
  <c r="G48" i="7" s="1"/>
  <c r="BC7" i="13"/>
  <c r="BC16" i="13" s="1"/>
  <c r="W7" i="13"/>
  <c r="W16" i="13" s="1"/>
  <c r="W19" i="13" s="1"/>
  <c r="K5" i="7" s="1"/>
  <c r="AM7" i="13"/>
  <c r="AM16" i="13" s="1"/>
  <c r="O7" i="13"/>
  <c r="O16" i="13" s="1"/>
  <c r="O19" i="13" s="1"/>
  <c r="AU7" i="13"/>
  <c r="AU16" i="13" s="1"/>
  <c r="AU19" i="13" s="1"/>
  <c r="K92" i="7" s="1"/>
  <c r="BS7" i="13"/>
  <c r="BS16" i="13" s="1"/>
  <c r="BS19" i="13" s="1"/>
  <c r="K178" i="7" s="1"/>
  <c r="U29" i="16"/>
  <c r="U15" i="16"/>
  <c r="G15" i="6" s="1"/>
  <c r="C52" i="7"/>
  <c r="Z29" i="16"/>
  <c r="H52" i="7"/>
  <c r="W28" i="16"/>
  <c r="W22" i="16"/>
  <c r="W29" i="16" s="1"/>
  <c r="BU15" i="10"/>
  <c r="BU18" i="10" s="1"/>
  <c r="BT9" i="10"/>
  <c r="BT15" i="10"/>
  <c r="BN15" i="10"/>
  <c r="BN9" i="10"/>
  <c r="BO15" i="10"/>
  <c r="DZ15" i="10"/>
  <c r="DZ9" i="10"/>
  <c r="EA15" i="10"/>
  <c r="AE15" i="10"/>
  <c r="AD15" i="10"/>
  <c r="AD18" i="10" s="1"/>
  <c r="AD9" i="10"/>
  <c r="BR16" i="10"/>
  <c r="BS16" i="10"/>
  <c r="DV16" i="10"/>
  <c r="DW16" i="10"/>
  <c r="BM16" i="10"/>
  <c r="BL16" i="10"/>
  <c r="DY16" i="10"/>
  <c r="DX16" i="10"/>
  <c r="BN16" i="10"/>
  <c r="BO16" i="10"/>
  <c r="DZ16" i="10"/>
  <c r="EA16" i="10"/>
  <c r="BQ16" i="10"/>
  <c r="BP16" i="10"/>
  <c r="C23" i="3"/>
  <c r="C15" i="3"/>
  <c r="K15" i="3"/>
  <c r="D96" i="8"/>
  <c r="D98" i="8" s="1"/>
  <c r="D143" i="7"/>
  <c r="E104" i="7"/>
  <c r="D106" i="7"/>
  <c r="G23" i="3"/>
  <c r="C14" i="3"/>
  <c r="G22" i="3"/>
  <c r="AX48" i="2"/>
  <c r="DF17" i="10"/>
  <c r="DG17" i="10"/>
  <c r="AG17" i="10"/>
  <c r="AF17" i="10"/>
  <c r="DY17" i="10"/>
  <c r="DX17" i="10"/>
  <c r="BN17" i="10"/>
  <c r="BO17" i="10"/>
  <c r="DZ17" i="10"/>
  <c r="EA17" i="10"/>
  <c r="BQ17" i="10"/>
  <c r="BP17" i="10"/>
  <c r="I32" i="3"/>
  <c r="I34" i="3" s="1"/>
  <c r="K5" i="3"/>
  <c r="F75" i="5"/>
  <c r="F101" i="5" s="1"/>
  <c r="F36" i="5"/>
  <c r="H7" i="6" s="1"/>
  <c r="E19" i="4"/>
  <c r="H19" i="3"/>
  <c r="I19" i="3" s="1"/>
  <c r="F17" i="1"/>
  <c r="AC19" i="2"/>
  <c r="P19" i="25"/>
  <c r="AV15" i="21"/>
  <c r="P15" i="21"/>
  <c r="M16" i="21" s="1"/>
  <c r="AR15" i="21"/>
  <c r="AT15" i="21"/>
  <c r="BJ15" i="21"/>
  <c r="BO15" i="21"/>
  <c r="BP29" i="16"/>
  <c r="N182" i="7"/>
  <c r="AT29" i="16"/>
  <c r="D135" i="7"/>
  <c r="G10" i="25"/>
  <c r="H9" i="8"/>
  <c r="H11" i="8" s="1"/>
  <c r="H11" i="7"/>
  <c r="M98" i="7"/>
  <c r="M88" i="8"/>
  <c r="M90" i="8" s="1"/>
  <c r="BG29" i="16"/>
  <c r="E182" i="7"/>
  <c r="AX29" i="16"/>
  <c r="H135" i="7"/>
  <c r="Q29" i="16"/>
  <c r="K9" i="7"/>
  <c r="N98" i="7"/>
  <c r="N88" i="8"/>
  <c r="N90" i="8" s="1"/>
  <c r="E10" i="25"/>
  <c r="E12" i="25" s="1"/>
  <c r="F9" i="8"/>
  <c r="F11" i="7"/>
  <c r="N54" i="7"/>
  <c r="N50" i="8"/>
  <c r="N52" i="8" s="1"/>
  <c r="F54" i="7"/>
  <c r="F50" i="8"/>
  <c r="F52" i="8" s="1"/>
  <c r="K50" i="8"/>
  <c r="K52" i="8" s="1"/>
  <c r="K54" i="7"/>
  <c r="M54" i="7"/>
  <c r="M50" i="8"/>
  <c r="M52" i="8" s="1"/>
  <c r="BR15" i="10"/>
  <c r="BR9" i="10"/>
  <c r="BS15" i="10"/>
  <c r="X9" i="10"/>
  <c r="Y15" i="10"/>
  <c r="Y18" i="10" s="1"/>
  <c r="X15" i="10"/>
  <c r="X18" i="10" s="1"/>
  <c r="BD9" i="10"/>
  <c r="BE15" i="10"/>
  <c r="BE18" i="10" s="1"/>
  <c r="BD15" i="10"/>
  <c r="BD18" i="10" s="1"/>
  <c r="BD19" i="10" s="1"/>
  <c r="M50" i="7" s="1"/>
  <c r="M48" i="8" s="1"/>
  <c r="CK15" i="10"/>
  <c r="CK18" i="10" s="1"/>
  <c r="CJ9" i="10"/>
  <c r="CJ15" i="10"/>
  <c r="DQ15" i="10"/>
  <c r="DQ18" i="10" s="1"/>
  <c r="DP9" i="10"/>
  <c r="DP15" i="10"/>
  <c r="S15" i="10"/>
  <c r="R9" i="10"/>
  <c r="R15" i="10"/>
  <c r="AY15" i="10"/>
  <c r="AX9" i="10"/>
  <c r="AX15" i="10"/>
  <c r="CD15" i="10"/>
  <c r="CD9" i="10"/>
  <c r="CE15" i="10"/>
  <c r="DJ15" i="10"/>
  <c r="DJ9" i="10"/>
  <c r="DK15" i="10"/>
  <c r="U15" i="10"/>
  <c r="T15" i="10"/>
  <c r="T9" i="10"/>
  <c r="BA15" i="10"/>
  <c r="AZ15" i="10"/>
  <c r="AZ9" i="10"/>
  <c r="CG15" i="10"/>
  <c r="CF15" i="10"/>
  <c r="CF9" i="10"/>
  <c r="DM15" i="10"/>
  <c r="DL15" i="10"/>
  <c r="DL9" i="10"/>
  <c r="CP15" i="10"/>
  <c r="CP9" i="10"/>
  <c r="CQ15" i="10"/>
  <c r="BB16" i="10"/>
  <c r="BC16" i="10"/>
  <c r="BJ16" i="10"/>
  <c r="BK16" i="10"/>
  <c r="Q16" i="10"/>
  <c r="P16" i="10"/>
  <c r="AW16" i="10"/>
  <c r="AV16" i="10"/>
  <c r="CC16" i="10"/>
  <c r="CB16" i="10"/>
  <c r="DI16" i="10"/>
  <c r="DH16" i="10"/>
  <c r="R16" i="10"/>
  <c r="S16" i="10"/>
  <c r="AX16" i="10"/>
  <c r="AY16" i="10"/>
  <c r="CD16" i="10"/>
  <c r="CE16" i="10"/>
  <c r="DJ16" i="10"/>
  <c r="DK16" i="10"/>
  <c r="U16" i="10"/>
  <c r="T16" i="10"/>
  <c r="BA16" i="10"/>
  <c r="AZ16" i="10"/>
  <c r="CG16" i="10"/>
  <c r="CF16" i="10"/>
  <c r="DM16" i="10"/>
  <c r="DL16" i="10"/>
  <c r="F59" i="7"/>
  <c r="E60" i="7"/>
  <c r="E57" i="8"/>
  <c r="Q55" i="8"/>
  <c r="O28" i="8"/>
  <c r="Q28" i="8" s="1"/>
  <c r="Q29" i="8" s="1"/>
  <c r="CP17" i="10"/>
  <c r="CQ17" i="10"/>
  <c r="E136" i="8"/>
  <c r="E65" i="8"/>
  <c r="F67" i="7"/>
  <c r="B21" i="25"/>
  <c r="C19" i="8"/>
  <c r="F21" i="6"/>
  <c r="K13" i="3"/>
  <c r="J44" i="1"/>
  <c r="BB9" i="10"/>
  <c r="DV9" i="10"/>
  <c r="K23" i="3"/>
  <c r="C13" i="3"/>
  <c r="I21" i="25"/>
  <c r="J19" i="8"/>
  <c r="E33" i="3"/>
  <c r="G14" i="3"/>
  <c r="C145" i="7"/>
  <c r="C21" i="25"/>
  <c r="D19" i="8"/>
  <c r="H21" i="25"/>
  <c r="I19" i="8"/>
  <c r="CX17" i="10"/>
  <c r="CY17" i="10"/>
  <c r="AT17" i="10"/>
  <c r="AU17" i="10"/>
  <c r="BB17" i="10"/>
  <c r="BC17" i="10"/>
  <c r="Q17" i="10"/>
  <c r="P17" i="10"/>
  <c r="AW17" i="10"/>
  <c r="AV17" i="10"/>
  <c r="CC17" i="10"/>
  <c r="CB17" i="10"/>
  <c r="DI17" i="10"/>
  <c r="DH17" i="10"/>
  <c r="R17" i="10"/>
  <c r="S17" i="10"/>
  <c r="AX17" i="10"/>
  <c r="AY17" i="10"/>
  <c r="CD17" i="10"/>
  <c r="CE17" i="10"/>
  <c r="DJ17" i="10"/>
  <c r="DK17" i="10"/>
  <c r="U17" i="10"/>
  <c r="T17" i="10"/>
  <c r="BA17" i="10"/>
  <c r="AZ17" i="10"/>
  <c r="CG17" i="10"/>
  <c r="CF17" i="10"/>
  <c r="DM17" i="10"/>
  <c r="DL17" i="10"/>
  <c r="E39" i="4"/>
  <c r="D44" i="4"/>
  <c r="D49" i="4" s="1"/>
  <c r="E15" i="3"/>
  <c r="G13" i="3"/>
  <c r="G4" i="3"/>
  <c r="G8" i="3" s="1"/>
  <c r="C4" i="3"/>
  <c r="C8" i="3" s="1"/>
  <c r="G149" i="8"/>
  <c r="H155" i="7"/>
  <c r="K32" i="3"/>
  <c r="K34" i="3" s="1"/>
  <c r="G44" i="5"/>
  <c r="F44" i="5"/>
  <c r="AW48" i="2"/>
  <c r="G19" i="3"/>
  <c r="E17" i="3"/>
  <c r="G43" i="5"/>
  <c r="G68" i="5" s="1"/>
  <c r="I29" i="6" s="1"/>
  <c r="G46" i="5"/>
  <c r="E36" i="5"/>
  <c r="G7" i="6" s="1"/>
  <c r="D36" i="5"/>
  <c r="H42" i="5"/>
  <c r="K8" i="3" l="1"/>
  <c r="V18" i="10"/>
  <c r="DI18" i="10"/>
  <c r="CX18" i="10"/>
  <c r="AK16" i="21"/>
  <c r="O107" i="7" s="1"/>
  <c r="CA18" i="10"/>
  <c r="DT18" i="10"/>
  <c r="CS18" i="10"/>
  <c r="AL18" i="10"/>
  <c r="I30" i="16"/>
  <c r="BZ15" i="10"/>
  <c r="BZ9" i="10"/>
  <c r="CA15" i="10"/>
  <c r="DF15" i="10"/>
  <c r="DF18" i="10" s="1"/>
  <c r="DG15" i="10"/>
  <c r="DG18" i="10" s="1"/>
  <c r="DF19" i="10" s="1"/>
  <c r="D180" i="7" s="1"/>
  <c r="D168" i="8" s="1"/>
  <c r="E25" i="3"/>
  <c r="X19" i="10"/>
  <c r="I7" i="7" s="1"/>
  <c r="AG30" i="16"/>
  <c r="CB18" i="10"/>
  <c r="BI16" i="21"/>
  <c r="O191" i="7" s="1"/>
  <c r="CV19" i="10"/>
  <c r="K133" i="7" s="1"/>
  <c r="K127" i="8" s="1"/>
  <c r="BZ18" i="10"/>
  <c r="DU18" i="10"/>
  <c r="DR18" i="10"/>
  <c r="BF18" i="10"/>
  <c r="BL18" i="10"/>
  <c r="N15" i="10"/>
  <c r="N18" i="10" s="1"/>
  <c r="N9" i="10"/>
  <c r="O15" i="10"/>
  <c r="BC15" i="10"/>
  <c r="BB15" i="10"/>
  <c r="BB18" i="10" s="1"/>
  <c r="DF9" i="10"/>
  <c r="T18" i="10"/>
  <c r="EA18" i="10"/>
  <c r="F68" i="5"/>
  <c r="H29" i="6" s="1"/>
  <c r="CW18" i="10"/>
  <c r="AI18" i="10"/>
  <c r="CH18" i="10"/>
  <c r="CI15" i="10"/>
  <c r="CI18" i="10" s="1"/>
  <c r="CH15" i="10"/>
  <c r="DO15" i="10"/>
  <c r="DO18" i="10" s="1"/>
  <c r="DN15" i="10"/>
  <c r="DN18" i="10" s="1"/>
  <c r="DN19" i="10" s="1"/>
  <c r="H180" i="7" s="1"/>
  <c r="H168" i="8" s="1"/>
  <c r="BC18" i="10"/>
  <c r="O18" i="10"/>
  <c r="AJ18" i="10"/>
  <c r="BI18" i="10"/>
  <c r="DS18" i="10"/>
  <c r="BG18" i="10"/>
  <c r="DX18" i="10"/>
  <c r="D189" i="7"/>
  <c r="D177" i="8" s="1"/>
  <c r="D138" i="8"/>
  <c r="AU15" i="10"/>
  <c r="AU18" i="10" s="1"/>
  <c r="AT15" i="10"/>
  <c r="AT18" i="10" s="1"/>
  <c r="AT9" i="10"/>
  <c r="V9" i="10"/>
  <c r="W15" i="10"/>
  <c r="W18" i="10" s="1"/>
  <c r="V19" i="10" s="1"/>
  <c r="H7" i="7" s="1"/>
  <c r="V15" i="10"/>
  <c r="DW15" i="10"/>
  <c r="DW18" i="10" s="1"/>
  <c r="DV15" i="10"/>
  <c r="DV18" i="10" s="1"/>
  <c r="DV19" i="10" s="1"/>
  <c r="L180" i="7" s="1"/>
  <c r="L168" i="8" s="1"/>
  <c r="O59" i="8"/>
  <c r="O61" i="7"/>
  <c r="B30" i="9"/>
  <c r="B32" i="9" s="1"/>
  <c r="F23" i="6"/>
  <c r="O179" i="8"/>
  <c r="L107" i="7"/>
  <c r="H107" i="7"/>
  <c r="D107" i="7"/>
  <c r="K107" i="7"/>
  <c r="G107" i="7"/>
  <c r="C107" i="7"/>
  <c r="J107" i="7"/>
  <c r="I107" i="7"/>
  <c r="O99" i="8"/>
  <c r="N107" i="7"/>
  <c r="F107" i="7"/>
  <c r="E107" i="7"/>
  <c r="M107" i="7"/>
  <c r="B2" i="25"/>
  <c r="C2" i="8"/>
  <c r="F38" i="8" s="1"/>
  <c r="F7" i="6"/>
  <c r="F8" i="6" s="1"/>
  <c r="G8" i="6" s="1"/>
  <c r="H8" i="6" s="1"/>
  <c r="I8" i="6" s="1"/>
  <c r="J8" i="6" s="1"/>
  <c r="K8" i="6" s="1"/>
  <c r="C34" i="7"/>
  <c r="E44" i="4"/>
  <c r="F39" i="4"/>
  <c r="F44" i="4" s="1"/>
  <c r="F65" i="8"/>
  <c r="G67" i="7"/>
  <c r="F57" i="8"/>
  <c r="F58" i="8" s="1"/>
  <c r="F60" i="7"/>
  <c r="G59" i="7"/>
  <c r="CQ18" i="10"/>
  <c r="DL18" i="10"/>
  <c r="CG18" i="10"/>
  <c r="CD18" i="10"/>
  <c r="R18" i="10"/>
  <c r="H8" i="25"/>
  <c r="I7" i="8"/>
  <c r="N170" i="8"/>
  <c r="N172" i="8" s="1"/>
  <c r="N184" i="7"/>
  <c r="K166" i="8"/>
  <c r="J6" i="25"/>
  <c r="K5" i="8"/>
  <c r="C6" i="25"/>
  <c r="D5" i="8"/>
  <c r="L84" i="8"/>
  <c r="F6" i="25"/>
  <c r="G5" i="8"/>
  <c r="C131" i="7"/>
  <c r="G6" i="25"/>
  <c r="H5" i="8"/>
  <c r="D125" i="8"/>
  <c r="H6" i="25"/>
  <c r="I5" i="8"/>
  <c r="M46" i="8"/>
  <c r="E125" i="8"/>
  <c r="I166" i="8"/>
  <c r="M6" i="25"/>
  <c r="N5" i="8"/>
  <c r="F84" i="8"/>
  <c r="J125" i="8"/>
  <c r="N166" i="8"/>
  <c r="B10" i="25"/>
  <c r="C9" i="8"/>
  <c r="C11" i="7"/>
  <c r="O9" i="7"/>
  <c r="M18" i="10"/>
  <c r="BW18" i="10"/>
  <c r="AV18" i="10"/>
  <c r="Q18" i="10"/>
  <c r="M137" i="7"/>
  <c r="M129" i="8"/>
  <c r="M131" i="8" s="1"/>
  <c r="C176" i="8"/>
  <c r="C190" i="7"/>
  <c r="BQ18" i="10"/>
  <c r="DA18" i="10"/>
  <c r="I108" i="8"/>
  <c r="J116" i="7"/>
  <c r="E138" i="8"/>
  <c r="E189" i="7"/>
  <c r="BB19" i="10"/>
  <c r="L50" i="7" s="1"/>
  <c r="L48" i="8" s="1"/>
  <c r="CN18" i="10"/>
  <c r="AW32" i="13"/>
  <c r="AW37" i="13"/>
  <c r="AW40" i="13" s="1"/>
  <c r="M93" i="7" s="1"/>
  <c r="M85" i="8" s="1"/>
  <c r="AK32" i="13"/>
  <c r="AK37" i="13"/>
  <c r="AK40" i="13" s="1"/>
  <c r="M49" i="7" s="1"/>
  <c r="M47" i="8" s="1"/>
  <c r="AO32" i="13"/>
  <c r="AO37" i="13"/>
  <c r="AO40" i="13" s="1"/>
  <c r="E93" i="7" s="1"/>
  <c r="E85" i="8" s="1"/>
  <c r="BI32" i="13"/>
  <c r="BI37" i="13"/>
  <c r="BI40" i="13" s="1"/>
  <c r="M132" i="7" s="1"/>
  <c r="M126" i="8" s="1"/>
  <c r="AD32" i="13"/>
  <c r="AD37" i="13"/>
  <c r="AD40" i="13" s="1"/>
  <c r="F49" i="7" s="1"/>
  <c r="F47" i="8" s="1"/>
  <c r="AT32" i="13"/>
  <c r="AT37" i="13"/>
  <c r="AT40" i="13" s="1"/>
  <c r="J93" i="7" s="1"/>
  <c r="J85" i="8" s="1"/>
  <c r="BJ32" i="13"/>
  <c r="BJ37" i="13"/>
  <c r="BJ40" i="13" s="1"/>
  <c r="N132" i="7" s="1"/>
  <c r="N126" i="8" s="1"/>
  <c r="W37" i="13"/>
  <c r="W40" i="13" s="1"/>
  <c r="K6" i="7" s="1"/>
  <c r="W32" i="13"/>
  <c r="AM37" i="13"/>
  <c r="AM40" i="13" s="1"/>
  <c r="AM32" i="13"/>
  <c r="BC37" i="13"/>
  <c r="BC40" i="13" s="1"/>
  <c r="G132" i="7" s="1"/>
  <c r="G126" i="8" s="1"/>
  <c r="BC32" i="13"/>
  <c r="P32" i="13"/>
  <c r="P37" i="13"/>
  <c r="P40" i="13" s="1"/>
  <c r="D6" i="7" s="1"/>
  <c r="AF32" i="13"/>
  <c r="AF37" i="13"/>
  <c r="AF40" i="13" s="1"/>
  <c r="H49" i="7" s="1"/>
  <c r="H47" i="8" s="1"/>
  <c r="AV32" i="13"/>
  <c r="AV37" i="13"/>
  <c r="AV40" i="13" s="1"/>
  <c r="L93" i="7" s="1"/>
  <c r="L85" i="8" s="1"/>
  <c r="BL32" i="13"/>
  <c r="BL37" i="13"/>
  <c r="BL40" i="13" s="1"/>
  <c r="D179" i="7" s="1"/>
  <c r="D167" i="8" s="1"/>
  <c r="N20" i="25"/>
  <c r="N31" i="25" s="1"/>
  <c r="N32" i="25" s="1"/>
  <c r="O18" i="8"/>
  <c r="O29" i="8" s="1"/>
  <c r="O18" i="7"/>
  <c r="O140" i="8"/>
  <c r="O146" i="7"/>
  <c r="K16" i="6"/>
  <c r="N19" i="10"/>
  <c r="D7" i="7" s="1"/>
  <c r="DM18" i="10"/>
  <c r="DJ18" i="10"/>
  <c r="AX18" i="10"/>
  <c r="BR18" i="10"/>
  <c r="H129" i="8"/>
  <c r="H131" i="8" s="1"/>
  <c r="H137" i="7"/>
  <c r="G12" i="25"/>
  <c r="BN18" i="10"/>
  <c r="C50" i="8"/>
  <c r="O52" i="7"/>
  <c r="C54" i="7"/>
  <c r="K84" i="8"/>
  <c r="BC19" i="13"/>
  <c r="G131" i="7" s="1"/>
  <c r="K6" i="25"/>
  <c r="L5" i="8"/>
  <c r="H125" i="8"/>
  <c r="C48" i="7"/>
  <c r="K125" i="8"/>
  <c r="D46" i="8"/>
  <c r="L125" i="8"/>
  <c r="L6" i="25"/>
  <c r="M5" i="8"/>
  <c r="E84" i="8"/>
  <c r="I125" i="8"/>
  <c r="M166" i="8"/>
  <c r="F46" i="8"/>
  <c r="J84" i="8"/>
  <c r="N125" i="8"/>
  <c r="F18" i="6"/>
  <c r="K15" i="6"/>
  <c r="K18" i="6" s="1"/>
  <c r="I129" i="8"/>
  <c r="I131" i="8" s="1"/>
  <c r="I137" i="7"/>
  <c r="BE30" i="16"/>
  <c r="G115" i="7"/>
  <c r="F107" i="8"/>
  <c r="E30" i="9"/>
  <c r="E32" i="9" s="1"/>
  <c r="G23" i="6"/>
  <c r="G136" i="8"/>
  <c r="BX18" i="10"/>
  <c r="DC18" i="10"/>
  <c r="AQ18" i="10"/>
  <c r="AW18" i="10"/>
  <c r="L50" i="8"/>
  <c r="L52" i="8" s="1"/>
  <c r="L54" i="7"/>
  <c r="D90" i="8"/>
  <c r="T25" i="2"/>
  <c r="T49" i="2" s="1"/>
  <c r="AN18" i="10"/>
  <c r="I11" i="8"/>
  <c r="C139" i="8"/>
  <c r="CO18" i="10"/>
  <c r="AB18" i="10"/>
  <c r="CL18" i="10"/>
  <c r="Z18" i="10"/>
  <c r="AF18" i="10"/>
  <c r="Q32" i="13"/>
  <c r="Q37" i="13"/>
  <c r="Q40" i="13" s="1"/>
  <c r="E6" i="7" s="1"/>
  <c r="BA32" i="13"/>
  <c r="BA37" i="13"/>
  <c r="BA40" i="13" s="1"/>
  <c r="E132" i="7" s="1"/>
  <c r="E126" i="8" s="1"/>
  <c r="BE32" i="13"/>
  <c r="BE37" i="13"/>
  <c r="BE40" i="13" s="1"/>
  <c r="I132" i="7" s="1"/>
  <c r="I126" i="8" s="1"/>
  <c r="R32" i="13"/>
  <c r="R37" i="13"/>
  <c r="R40" i="13" s="1"/>
  <c r="F6" i="7" s="1"/>
  <c r="AH32" i="13"/>
  <c r="AH37" i="13"/>
  <c r="AH40" i="13" s="1"/>
  <c r="J49" i="7" s="1"/>
  <c r="J47" i="8" s="1"/>
  <c r="AX32" i="13"/>
  <c r="AX37" i="13"/>
  <c r="AX40" i="13" s="1"/>
  <c r="N93" i="7" s="1"/>
  <c r="N85" i="8" s="1"/>
  <c r="BO37" i="13"/>
  <c r="BO40" i="13" s="1"/>
  <c r="G179" i="7" s="1"/>
  <c r="G167" i="8" s="1"/>
  <c r="BO32" i="13"/>
  <c r="AA37" i="13"/>
  <c r="AA40" i="13" s="1"/>
  <c r="AA32" i="13"/>
  <c r="AQ37" i="13"/>
  <c r="AQ40" i="13" s="1"/>
  <c r="G93" i="7" s="1"/>
  <c r="G85" i="8" s="1"/>
  <c r="AQ32" i="13"/>
  <c r="BG37" i="13"/>
  <c r="BG40" i="13" s="1"/>
  <c r="K132" i="7" s="1"/>
  <c r="K126" i="8" s="1"/>
  <c r="BG32" i="13"/>
  <c r="T32" i="13"/>
  <c r="T37" i="13"/>
  <c r="T40" i="13" s="1"/>
  <c r="H6" i="7" s="1"/>
  <c r="AJ32" i="13"/>
  <c r="AJ37" i="13"/>
  <c r="AJ40" i="13" s="1"/>
  <c r="L49" i="7" s="1"/>
  <c r="L47" i="8" s="1"/>
  <c r="AZ32" i="13"/>
  <c r="AZ37" i="13"/>
  <c r="AZ40" i="13" s="1"/>
  <c r="D132" i="7" s="1"/>
  <c r="D126" i="8" s="1"/>
  <c r="BS37" i="13"/>
  <c r="BS40" i="13" s="1"/>
  <c r="K179" i="7" s="1"/>
  <c r="K167" i="8" s="1"/>
  <c r="BS32" i="13"/>
  <c r="BN32" i="13"/>
  <c r="BN37" i="13"/>
  <c r="BN40" i="13" s="1"/>
  <c r="F179" i="7" s="1"/>
  <c r="F167" i="8" s="1"/>
  <c r="C129" i="8"/>
  <c r="O135" i="7"/>
  <c r="C137" i="7"/>
  <c r="H170" i="8"/>
  <c r="H172" i="8" s="1"/>
  <c r="H184" i="7"/>
  <c r="C130" i="8"/>
  <c r="O130" i="8" s="1"/>
  <c r="O136" i="7"/>
  <c r="C171" i="8"/>
  <c r="O183" i="7"/>
  <c r="C25" i="3"/>
  <c r="C49" i="3" s="1"/>
  <c r="E58" i="8"/>
  <c r="CP18" i="10"/>
  <c r="AZ18" i="10"/>
  <c r="U18" i="10"/>
  <c r="T19" i="10" s="1"/>
  <c r="G7" i="7" s="1"/>
  <c r="CE18" i="10"/>
  <c r="S18" i="10"/>
  <c r="CJ18" i="10"/>
  <c r="CJ19" i="10" s="1"/>
  <c r="E133" i="7" s="1"/>
  <c r="E127" i="8" s="1"/>
  <c r="D137" i="7"/>
  <c r="D129" i="8"/>
  <c r="D131" i="8" s="1"/>
  <c r="E96" i="8"/>
  <c r="E98" i="8" s="1"/>
  <c r="F104" i="7"/>
  <c r="E143" i="7"/>
  <c r="E106" i="7"/>
  <c r="DZ18" i="10"/>
  <c r="DZ19" i="10" s="1"/>
  <c r="N180" i="7" s="1"/>
  <c r="N168" i="8" s="1"/>
  <c r="BT18" i="10"/>
  <c r="BT19" i="10" s="1"/>
  <c r="I94" i="7" s="1"/>
  <c r="I86" i="8" s="1"/>
  <c r="G18" i="6"/>
  <c r="C5" i="7"/>
  <c r="G46" i="8"/>
  <c r="H46" i="8"/>
  <c r="D166" i="8"/>
  <c r="K46" i="8"/>
  <c r="G166" i="8"/>
  <c r="L46" i="8"/>
  <c r="L51" i="7"/>
  <c r="BP19" i="13"/>
  <c r="H178" i="7" s="1"/>
  <c r="E46" i="8"/>
  <c r="I84" i="8"/>
  <c r="M125" i="8"/>
  <c r="E6" i="25"/>
  <c r="F5" i="8"/>
  <c r="J46" i="8"/>
  <c r="N84" i="8"/>
  <c r="F166" i="8"/>
  <c r="J98" i="7"/>
  <c r="J88" i="8"/>
  <c r="J90" i="8" s="1"/>
  <c r="H95" i="8"/>
  <c r="I103" i="7"/>
  <c r="H142" i="7"/>
  <c r="DD18" i="10"/>
  <c r="BY18" i="10"/>
  <c r="L18" i="10"/>
  <c r="BV18" i="10"/>
  <c r="BV19" i="10" s="1"/>
  <c r="J94" i="7" s="1"/>
  <c r="J86" i="8" s="1"/>
  <c r="DH18" i="10"/>
  <c r="DH19" i="10" s="1"/>
  <c r="E180" i="7" s="1"/>
  <c r="E168" i="8" s="1"/>
  <c r="CY18" i="10"/>
  <c r="CX19" i="10" s="1"/>
  <c r="L133" i="7" s="1"/>
  <c r="L127" i="8" s="1"/>
  <c r="N129" i="8"/>
  <c r="N131" i="8" s="1"/>
  <c r="N137" i="7"/>
  <c r="G17" i="3"/>
  <c r="G25" i="3" s="1"/>
  <c r="G49" i="3" s="1"/>
  <c r="F25" i="3"/>
  <c r="F49" i="3" s="1"/>
  <c r="AC18" i="2"/>
  <c r="H18" i="3"/>
  <c r="I18" i="3" s="1"/>
  <c r="F16" i="1"/>
  <c r="E18" i="4"/>
  <c r="CT18" i="10"/>
  <c r="CT19" i="10" s="1"/>
  <c r="J133" i="7" s="1"/>
  <c r="J127" i="8" s="1"/>
  <c r="CZ18" i="10"/>
  <c r="CZ19" i="10" s="1"/>
  <c r="M133" i="7" s="1"/>
  <c r="M127" i="8" s="1"/>
  <c r="AO18" i="10"/>
  <c r="H12" i="25"/>
  <c r="L30" i="9"/>
  <c r="L32" i="9" s="1"/>
  <c r="I23" i="6"/>
  <c r="O30" i="8"/>
  <c r="BJ18" i="10"/>
  <c r="BH18" i="10"/>
  <c r="DR19" i="10"/>
  <c r="J180" i="7" s="1"/>
  <c r="J168" i="8" s="1"/>
  <c r="BF19" i="10"/>
  <c r="N50" i="7" s="1"/>
  <c r="N48" i="8" s="1"/>
  <c r="DY18" i="10"/>
  <c r="DX19" i="10" s="1"/>
  <c r="M180" i="7" s="1"/>
  <c r="AG18" i="10"/>
  <c r="AM18" i="10"/>
  <c r="AL19" i="10" s="1"/>
  <c r="D50" i="7" s="1"/>
  <c r="D48" i="8" s="1"/>
  <c r="AG32" i="13"/>
  <c r="AG37" i="13"/>
  <c r="AG40" i="13" s="1"/>
  <c r="I49" i="7" s="1"/>
  <c r="I47" i="8" s="1"/>
  <c r="BT32" i="13"/>
  <c r="BT37" i="13"/>
  <c r="BT40" i="13" s="1"/>
  <c r="L179" i="7" s="1"/>
  <c r="L167" i="8" s="1"/>
  <c r="AC32" i="13"/>
  <c r="AC37" i="13"/>
  <c r="AC40" i="13" s="1"/>
  <c r="E49" i="7" s="1"/>
  <c r="E47" i="8" s="1"/>
  <c r="V32" i="13"/>
  <c r="V37" i="13"/>
  <c r="V40" i="13" s="1"/>
  <c r="J6" i="7" s="1"/>
  <c r="AL32" i="13"/>
  <c r="AL37" i="13"/>
  <c r="AL40" i="13" s="1"/>
  <c r="N49" i="7" s="1"/>
  <c r="N47" i="8" s="1"/>
  <c r="BB32" i="13"/>
  <c r="BB37" i="13"/>
  <c r="BB40" i="13" s="1"/>
  <c r="F132" i="7" s="1"/>
  <c r="F126" i="8" s="1"/>
  <c r="O37" i="13"/>
  <c r="O40" i="13" s="1"/>
  <c r="O32" i="13"/>
  <c r="AE37" i="13"/>
  <c r="AE40" i="13" s="1"/>
  <c r="G49" i="7" s="1"/>
  <c r="G47" i="8" s="1"/>
  <c r="AE32" i="13"/>
  <c r="AU37" i="13"/>
  <c r="AU40" i="13" s="1"/>
  <c r="K93" i="7" s="1"/>
  <c r="K85" i="8" s="1"/>
  <c r="AU32" i="13"/>
  <c r="BK37" i="13"/>
  <c r="BK40" i="13" s="1"/>
  <c r="BK32" i="13"/>
  <c r="X32" i="13"/>
  <c r="X37" i="13"/>
  <c r="X40" i="13" s="1"/>
  <c r="L6" i="7" s="1"/>
  <c r="AN32" i="13"/>
  <c r="AN37" i="13"/>
  <c r="AN40" i="13" s="1"/>
  <c r="D93" i="7" s="1"/>
  <c r="D85" i="8" s="1"/>
  <c r="BD32" i="13"/>
  <c r="BD37" i="13"/>
  <c r="BD40" i="13" s="1"/>
  <c r="H132" i="7" s="1"/>
  <c r="H126" i="8" s="1"/>
  <c r="BQ32" i="13"/>
  <c r="BQ37" i="13"/>
  <c r="BQ40" i="13" s="1"/>
  <c r="I179" i="7" s="1"/>
  <c r="I167" i="8" s="1"/>
  <c r="BR32" i="13"/>
  <c r="BR37" i="13"/>
  <c r="BR40" i="13" s="1"/>
  <c r="J179" i="7" s="1"/>
  <c r="J167" i="8" s="1"/>
  <c r="E54" i="7"/>
  <c r="E50" i="8"/>
  <c r="E52" i="8" s="1"/>
  <c r="E137" i="7"/>
  <c r="E129" i="8"/>
  <c r="E131" i="8" s="1"/>
  <c r="C12" i="25"/>
  <c r="H68" i="5"/>
  <c r="J29" i="6" s="1"/>
  <c r="K29" i="6" s="1"/>
  <c r="H149" i="8"/>
  <c r="I155" i="7"/>
  <c r="CF18" i="10"/>
  <c r="BA18" i="10"/>
  <c r="DK18" i="10"/>
  <c r="AY18" i="10"/>
  <c r="DP18" i="10"/>
  <c r="DP19" i="10" s="1"/>
  <c r="I180" i="7" s="1"/>
  <c r="I168" i="8" s="1"/>
  <c r="BS18" i="10"/>
  <c r="F11" i="8"/>
  <c r="J10" i="25"/>
  <c r="J12" i="25" s="1"/>
  <c r="K9" i="8"/>
  <c r="K11" i="8" s="1"/>
  <c r="K11" i="7"/>
  <c r="E170" i="8"/>
  <c r="E184" i="7"/>
  <c r="AL19" i="2"/>
  <c r="F19" i="4"/>
  <c r="J19" i="3"/>
  <c r="K19" i="3" s="1"/>
  <c r="H30" i="9"/>
  <c r="H32" i="9" s="1"/>
  <c r="H23" i="6"/>
  <c r="D137" i="8"/>
  <c r="D139" i="8" s="1"/>
  <c r="D188" i="7"/>
  <c r="D145" i="7"/>
  <c r="AE18" i="10"/>
  <c r="AD19" i="10" s="1"/>
  <c r="L7" i="7" s="1"/>
  <c r="BO18" i="10"/>
  <c r="H50" i="8"/>
  <c r="H52" i="8" s="1"/>
  <c r="H54" i="7"/>
  <c r="U30" i="16"/>
  <c r="AM19" i="13"/>
  <c r="BK19" i="13"/>
  <c r="AN19" i="13"/>
  <c r="D92" i="7" s="1"/>
  <c r="BT19" i="13"/>
  <c r="L178" i="7" s="1"/>
  <c r="AQ19" i="13"/>
  <c r="G92" i="7" s="1"/>
  <c r="AR19" i="13"/>
  <c r="H92" i="7" s="1"/>
  <c r="Q19" i="13"/>
  <c r="E5" i="7" s="1"/>
  <c r="AG19" i="13"/>
  <c r="I48" i="7" s="1"/>
  <c r="AW19" i="13"/>
  <c r="M92" i="7" s="1"/>
  <c r="BM19" i="13"/>
  <c r="E178" i="7" s="1"/>
  <c r="V19" i="13"/>
  <c r="J5" i="7" s="1"/>
  <c r="AL19" i="13"/>
  <c r="N48" i="7" s="1"/>
  <c r="BB19" i="13"/>
  <c r="F131" i="7" s="1"/>
  <c r="BR19" i="13"/>
  <c r="J178" i="7" s="1"/>
  <c r="E98" i="7"/>
  <c r="E88" i="8"/>
  <c r="E90" i="8" s="1"/>
  <c r="C184" i="7"/>
  <c r="O182" i="7"/>
  <c r="J39" i="3"/>
  <c r="I39" i="3"/>
  <c r="I44" i="3" s="1"/>
  <c r="H44" i="3"/>
  <c r="DE18" i="10"/>
  <c r="AR18" i="10"/>
  <c r="AR19" i="10" s="1"/>
  <c r="G50" i="7" s="1"/>
  <c r="G48" i="8" s="1"/>
  <c r="DB18" i="10"/>
  <c r="DB19" i="10" s="1"/>
  <c r="N133" i="7" s="1"/>
  <c r="N127" i="8" s="1"/>
  <c r="AP18" i="10"/>
  <c r="AP19" i="10" s="1"/>
  <c r="F50" i="7" s="1"/>
  <c r="F48" i="8" s="1"/>
  <c r="CC18" i="10"/>
  <c r="CB19" i="10" s="1"/>
  <c r="M94" i="7" s="1"/>
  <c r="M86" i="8" s="1"/>
  <c r="P18" i="10"/>
  <c r="I12" i="25"/>
  <c r="J129" i="8"/>
  <c r="J131" i="8" s="1"/>
  <c r="J137" i="7"/>
  <c r="E23" i="1"/>
  <c r="E44" i="1" s="1"/>
  <c r="I48" i="1" s="1"/>
  <c r="F15" i="1"/>
  <c r="H17" i="3"/>
  <c r="E17" i="4"/>
  <c r="AC17" i="2"/>
  <c r="E49" i="3"/>
  <c r="BP18" i="10"/>
  <c r="AK18" i="10"/>
  <c r="AJ19" i="10" s="1"/>
  <c r="C50" i="7" s="1"/>
  <c r="AH18" i="10"/>
  <c r="AH19" i="10" s="1"/>
  <c r="N7" i="7" s="1"/>
  <c r="N8" i="7" s="1"/>
  <c r="N12" i="7" s="1"/>
  <c r="F97" i="8"/>
  <c r="F144" i="7"/>
  <c r="G105" i="7"/>
  <c r="BK18" i="10"/>
  <c r="AC18" i="10"/>
  <c r="CM18" i="10"/>
  <c r="AA18" i="10"/>
  <c r="CR18" i="10"/>
  <c r="CR19" i="10" s="1"/>
  <c r="I133" i="7" s="1"/>
  <c r="I127" i="8" s="1"/>
  <c r="BM18" i="10"/>
  <c r="BL19" i="10" s="1"/>
  <c r="E94" i="7" s="1"/>
  <c r="BM32" i="13"/>
  <c r="BM37" i="13"/>
  <c r="BM40" i="13" s="1"/>
  <c r="E179" i="7" s="1"/>
  <c r="E167" i="8" s="1"/>
  <c r="U32" i="13"/>
  <c r="U37" i="13"/>
  <c r="U40" i="13" s="1"/>
  <c r="I6" i="7" s="1"/>
  <c r="Y32" i="13"/>
  <c r="Y37" i="13"/>
  <c r="Y40" i="13" s="1"/>
  <c r="M6" i="7" s="1"/>
  <c r="AS32" i="13"/>
  <c r="AS37" i="13"/>
  <c r="AS40" i="13" s="1"/>
  <c r="I93" i="7" s="1"/>
  <c r="I85" i="8" s="1"/>
  <c r="Z32" i="13"/>
  <c r="Z37" i="13"/>
  <c r="Z40" i="13" s="1"/>
  <c r="N6" i="7" s="1"/>
  <c r="AP32" i="13"/>
  <c r="AP37" i="13"/>
  <c r="AP40" i="13" s="1"/>
  <c r="F93" i="7" s="1"/>
  <c r="F85" i="8" s="1"/>
  <c r="BF32" i="13"/>
  <c r="BF37" i="13"/>
  <c r="BF40" i="13" s="1"/>
  <c r="J132" i="7" s="1"/>
  <c r="J126" i="8" s="1"/>
  <c r="S37" i="13"/>
  <c r="S40" i="13" s="1"/>
  <c r="G6" i="7" s="1"/>
  <c r="S32" i="13"/>
  <c r="AI37" i="13"/>
  <c r="AI40" i="13" s="1"/>
  <c r="K49" i="7" s="1"/>
  <c r="K47" i="8" s="1"/>
  <c r="AI32" i="13"/>
  <c r="AY37" i="13"/>
  <c r="AY40" i="13" s="1"/>
  <c r="AY32" i="13"/>
  <c r="BP32" i="13"/>
  <c r="BP37" i="13"/>
  <c r="BP40" i="13" s="1"/>
  <c r="H179" i="7" s="1"/>
  <c r="H167" i="8" s="1"/>
  <c r="AB32" i="13"/>
  <c r="AB37" i="13"/>
  <c r="AB40" i="13" s="1"/>
  <c r="D49" i="7" s="1"/>
  <c r="D47" i="8" s="1"/>
  <c r="AR32" i="13"/>
  <c r="AR37" i="13"/>
  <c r="AR40" i="13" s="1"/>
  <c r="H93" i="7" s="1"/>
  <c r="H85" i="8" s="1"/>
  <c r="BH32" i="13"/>
  <c r="BH37" i="13"/>
  <c r="BH40" i="13" s="1"/>
  <c r="L132" i="7" s="1"/>
  <c r="L126" i="8" s="1"/>
  <c r="BU32" i="13"/>
  <c r="BU37" i="13"/>
  <c r="BU40" i="13" s="1"/>
  <c r="M179" i="7" s="1"/>
  <c r="M167" i="8" s="1"/>
  <c r="BV32" i="13"/>
  <c r="BV37" i="13"/>
  <c r="BV40" i="13" s="1"/>
  <c r="N179" i="7" s="1"/>
  <c r="N167" i="8" s="1"/>
  <c r="J50" i="8"/>
  <c r="J52" i="8" s="1"/>
  <c r="J54" i="7"/>
  <c r="H18" i="6"/>
  <c r="G11" i="8"/>
  <c r="AS30" i="16"/>
  <c r="C51" i="8"/>
  <c r="O51" i="8" s="1"/>
  <c r="O53" i="7"/>
  <c r="C89" i="8"/>
  <c r="O97" i="7"/>
  <c r="O98" i="7" s="1"/>
  <c r="C98" i="7"/>
  <c r="B11" i="25"/>
  <c r="N11" i="25" s="1"/>
  <c r="C10" i="8"/>
  <c r="O10" i="8" s="1"/>
  <c r="O10" i="7"/>
  <c r="AT19" i="10" l="1"/>
  <c r="H50" i="7" s="1"/>
  <c r="D169" i="8"/>
  <c r="D173" i="8" s="1"/>
  <c r="BX19" i="10"/>
  <c r="K94" i="7" s="1"/>
  <c r="K86" i="8" s="1"/>
  <c r="BN19" i="10"/>
  <c r="F94" i="7" s="1"/>
  <c r="F86" i="8" s="1"/>
  <c r="L95" i="7"/>
  <c r="L101" i="7" s="1"/>
  <c r="CD19" i="10"/>
  <c r="N94" i="7" s="1"/>
  <c r="N86" i="8" s="1"/>
  <c r="N87" i="8" s="1"/>
  <c r="N93" i="8" s="1"/>
  <c r="CH19" i="10"/>
  <c r="D133" i="7" s="1"/>
  <c r="D127" i="8" s="1"/>
  <c r="I87" i="8"/>
  <c r="I93" i="8" s="1"/>
  <c r="AF19" i="10"/>
  <c r="M7" i="7" s="1"/>
  <c r="O11" i="7"/>
  <c r="N181" i="7"/>
  <c r="N185" i="7" s="1"/>
  <c r="M49" i="8"/>
  <c r="M53" i="8" s="1"/>
  <c r="AY20" i="13"/>
  <c r="I11" i="6" s="1"/>
  <c r="AZ19" i="10"/>
  <c r="K50" i="7" s="1"/>
  <c r="K48" i="8" s="1"/>
  <c r="Z19" i="10"/>
  <c r="J7" i="7" s="1"/>
  <c r="M51" i="7"/>
  <c r="M55" i="7" s="1"/>
  <c r="G49" i="8"/>
  <c r="G53" i="8" s="1"/>
  <c r="R19" i="10"/>
  <c r="F7" i="7" s="1"/>
  <c r="BZ19" i="10"/>
  <c r="L94" i="7" s="1"/>
  <c r="L86" i="8" s="1"/>
  <c r="DT19" i="10"/>
  <c r="K180" i="7" s="1"/>
  <c r="K168" i="8" s="1"/>
  <c r="M168" i="8"/>
  <c r="M181" i="7"/>
  <c r="M185" i="7" s="1"/>
  <c r="E86" i="8"/>
  <c r="E87" i="8" s="1"/>
  <c r="E93" i="8" s="1"/>
  <c r="E95" i="7"/>
  <c r="E101" i="7" s="1"/>
  <c r="O121" i="7"/>
  <c r="G50" i="3"/>
  <c r="K8" i="25"/>
  <c r="L7" i="8"/>
  <c r="C51" i="3"/>
  <c r="O30" i="7"/>
  <c r="C50" i="3"/>
  <c r="C48" i="8"/>
  <c r="I17" i="3"/>
  <c r="I25" i="3" s="1"/>
  <c r="I49" i="3" s="1"/>
  <c r="H25" i="3"/>
  <c r="H49" i="3" s="1"/>
  <c r="I46" i="8"/>
  <c r="AJ20" i="10"/>
  <c r="G13" i="6" s="1"/>
  <c r="AA41" i="13"/>
  <c r="G12" i="6" s="1"/>
  <c r="C49" i="7"/>
  <c r="G107" i="8"/>
  <c r="H115" i="7"/>
  <c r="J95" i="7"/>
  <c r="J101" i="7" s="1"/>
  <c r="AA20" i="13"/>
  <c r="G11" i="6" s="1"/>
  <c r="C8" i="25"/>
  <c r="D7" i="8"/>
  <c r="N18" i="7"/>
  <c r="J18" i="7"/>
  <c r="F18" i="7"/>
  <c r="M18" i="7"/>
  <c r="I18" i="7"/>
  <c r="E18" i="7"/>
  <c r="H18" i="7"/>
  <c r="G18" i="7"/>
  <c r="L18" i="7"/>
  <c r="D18" i="7"/>
  <c r="K18" i="7"/>
  <c r="C18" i="7"/>
  <c r="J7" i="25"/>
  <c r="K6" i="8"/>
  <c r="CN19" i="10"/>
  <c r="G133" i="7" s="1"/>
  <c r="G127" i="8" s="1"/>
  <c r="K169" i="8"/>
  <c r="K173" i="8" s="1"/>
  <c r="F99" i="8"/>
  <c r="J99" i="8"/>
  <c r="D99" i="8"/>
  <c r="G8" i="25"/>
  <c r="H7" i="8"/>
  <c r="G97" i="8"/>
  <c r="H105" i="7"/>
  <c r="G144" i="7"/>
  <c r="D6" i="25"/>
  <c r="E5" i="8"/>
  <c r="D84" i="8"/>
  <c r="L19" i="10"/>
  <c r="C7" i="7" s="1"/>
  <c r="L20" i="10"/>
  <c r="F13" i="6" s="1"/>
  <c r="E137" i="8"/>
  <c r="E188" i="7"/>
  <c r="E145" i="7"/>
  <c r="CP19" i="10"/>
  <c r="H133" i="7" s="1"/>
  <c r="H127" i="8" s="1"/>
  <c r="O137" i="7"/>
  <c r="D7" i="25"/>
  <c r="E6" i="8"/>
  <c r="M169" i="8"/>
  <c r="M173" i="8" s="1"/>
  <c r="L128" i="8"/>
  <c r="L134" i="8" s="1"/>
  <c r="C7" i="25"/>
  <c r="D6" i="8"/>
  <c r="N169" i="8"/>
  <c r="N173" i="8" s="1"/>
  <c r="F95" i="7"/>
  <c r="F101" i="7" s="1"/>
  <c r="I181" i="7"/>
  <c r="I185" i="7" s="1"/>
  <c r="L87" i="8"/>
  <c r="L93" i="8" s="1"/>
  <c r="F7" i="25"/>
  <c r="G6" i="8"/>
  <c r="O184" i="7"/>
  <c r="H84" i="8"/>
  <c r="O170" i="8"/>
  <c r="O172" i="8" s="1"/>
  <c r="E172" i="8"/>
  <c r="CF20" i="10"/>
  <c r="I13" i="6" s="1"/>
  <c r="CF19" i="10"/>
  <c r="C133" i="7" s="1"/>
  <c r="F18" i="4"/>
  <c r="J18" i="3"/>
  <c r="K18" i="3" s="1"/>
  <c r="AL18" i="2"/>
  <c r="H136" i="8"/>
  <c r="K49" i="8"/>
  <c r="K53" i="8" s="1"/>
  <c r="O20" i="13"/>
  <c r="F11" i="6" s="1"/>
  <c r="F96" i="8"/>
  <c r="G104" i="7"/>
  <c r="F143" i="7"/>
  <c r="F106" i="7"/>
  <c r="C172" i="8"/>
  <c r="O171" i="8"/>
  <c r="O129" i="8"/>
  <c r="O131" i="8" s="1"/>
  <c r="C131" i="8"/>
  <c r="CL19" i="10"/>
  <c r="F133" i="7" s="1"/>
  <c r="F127" i="8" s="1"/>
  <c r="F51" i="7"/>
  <c r="F55" i="7" s="1"/>
  <c r="K128" i="8"/>
  <c r="K134" i="8" s="1"/>
  <c r="G125" i="8"/>
  <c r="G128" i="8" s="1"/>
  <c r="G134" i="8" s="1"/>
  <c r="G134" i="7"/>
  <c r="G140" i="7" s="1"/>
  <c r="BR19" i="10"/>
  <c r="H94" i="7" s="1"/>
  <c r="H86" i="8" s="1"/>
  <c r="N146" i="7"/>
  <c r="J146" i="7"/>
  <c r="F146" i="7"/>
  <c r="M146" i="7"/>
  <c r="I146" i="7"/>
  <c r="E146" i="7"/>
  <c r="G146" i="7"/>
  <c r="D146" i="7"/>
  <c r="L146" i="7"/>
  <c r="K146" i="7"/>
  <c r="C146" i="7"/>
  <c r="H146" i="7"/>
  <c r="J134" i="7"/>
  <c r="J140" i="7" s="1"/>
  <c r="D8" i="7"/>
  <c r="D12" i="7" s="1"/>
  <c r="M99" i="8"/>
  <c r="G99" i="8"/>
  <c r="L99" i="8"/>
  <c r="K23" i="6"/>
  <c r="M61" i="7"/>
  <c r="I61" i="7"/>
  <c r="E61" i="7"/>
  <c r="L61" i="7"/>
  <c r="H61" i="7"/>
  <c r="D61" i="7"/>
  <c r="J61" i="7"/>
  <c r="G61" i="7"/>
  <c r="N61" i="7"/>
  <c r="F61" i="7"/>
  <c r="C61" i="7"/>
  <c r="K61" i="7"/>
  <c r="E50" i="3"/>
  <c r="O73" i="7"/>
  <c r="N46" i="8"/>
  <c r="N49" i="8" s="1"/>
  <c r="N53" i="8" s="1"/>
  <c r="N51" i="7"/>
  <c r="N55" i="7" s="1"/>
  <c r="L166" i="8"/>
  <c r="L169" i="8" s="1"/>
  <c r="L173" i="8" s="1"/>
  <c r="L181" i="7"/>
  <c r="L185" i="7" s="1"/>
  <c r="I7" i="25"/>
  <c r="J6" i="8"/>
  <c r="H166" i="8"/>
  <c r="H169" i="8" s="1"/>
  <c r="H173" i="8" s="1"/>
  <c r="H181" i="7"/>
  <c r="H185" i="7" s="1"/>
  <c r="L8" i="25"/>
  <c r="M7" i="8"/>
  <c r="O88" i="8"/>
  <c r="D49" i="8"/>
  <c r="D53" i="8" s="1"/>
  <c r="K87" i="8"/>
  <c r="K93" i="8" s="1"/>
  <c r="DJ19" i="10"/>
  <c r="F180" i="7" s="1"/>
  <c r="F87" i="8"/>
  <c r="F93" i="8" s="1"/>
  <c r="E128" i="8"/>
  <c r="E134" i="8" s="1"/>
  <c r="C9" i="25"/>
  <c r="C13" i="25" s="1"/>
  <c r="E8" i="25"/>
  <c r="F7" i="8"/>
  <c r="H7" i="25"/>
  <c r="H9" i="25" s="1"/>
  <c r="H13" i="25" s="1"/>
  <c r="I6" i="8"/>
  <c r="I8" i="8" s="1"/>
  <c r="I12" i="8" s="1"/>
  <c r="M8" i="25"/>
  <c r="N7" i="8"/>
  <c r="F17" i="4"/>
  <c r="J17" i="3"/>
  <c r="AL17" i="2"/>
  <c r="AL25" i="2" s="1"/>
  <c r="AL49" i="2" s="1"/>
  <c r="F23" i="1"/>
  <c r="F44" i="1" s="1"/>
  <c r="I6" i="25"/>
  <c r="J5" i="8"/>
  <c r="J8" i="7"/>
  <c r="J12" i="7" s="1"/>
  <c r="I149" i="8"/>
  <c r="J155" i="7"/>
  <c r="BK41" i="13"/>
  <c r="J12" i="6" s="1"/>
  <c r="C179" i="7"/>
  <c r="I95" i="7"/>
  <c r="I101" i="7" s="1"/>
  <c r="K51" i="7"/>
  <c r="K55" i="7" s="1"/>
  <c r="B6" i="25"/>
  <c r="C5" i="8"/>
  <c r="O5" i="7"/>
  <c r="G7" i="25"/>
  <c r="G9" i="25" s="1"/>
  <c r="G13" i="25" s="1"/>
  <c r="H6" i="8"/>
  <c r="H8" i="8" s="1"/>
  <c r="H12" i="8" s="1"/>
  <c r="I8" i="25"/>
  <c r="J7" i="8"/>
  <c r="AN19" i="10"/>
  <c r="E50" i="7" s="1"/>
  <c r="E48" i="8" s="1"/>
  <c r="E49" i="8" s="1"/>
  <c r="E53" i="8" s="1"/>
  <c r="J87" i="8"/>
  <c r="J93" i="8" s="1"/>
  <c r="K134" i="7"/>
  <c r="K140" i="7" s="1"/>
  <c r="H128" i="8"/>
  <c r="H134" i="8" s="1"/>
  <c r="F8" i="25"/>
  <c r="G7" i="8"/>
  <c r="C178" i="8"/>
  <c r="H8" i="7"/>
  <c r="H12" i="7" s="1"/>
  <c r="G8" i="7"/>
  <c r="G12" i="7" s="1"/>
  <c r="K181" i="7"/>
  <c r="K185" i="7" s="1"/>
  <c r="G57" i="8"/>
  <c r="G60" i="7"/>
  <c r="H59" i="7"/>
  <c r="N99" i="8"/>
  <c r="C99" i="8"/>
  <c r="H99" i="8"/>
  <c r="AY41" i="13"/>
  <c r="I12" i="6" s="1"/>
  <c r="I14" i="6" s="1"/>
  <c r="I19" i="6" s="1"/>
  <c r="C132" i="7"/>
  <c r="F138" i="8"/>
  <c r="F189" i="7"/>
  <c r="F177" i="8" s="1"/>
  <c r="AC25" i="2"/>
  <c r="AC49" i="2" s="1"/>
  <c r="J166" i="8"/>
  <c r="J169" i="8" s="1"/>
  <c r="J173" i="8" s="1"/>
  <c r="J181" i="7"/>
  <c r="J185" i="7" s="1"/>
  <c r="E166" i="8"/>
  <c r="E169" i="8" s="1"/>
  <c r="E181" i="7"/>
  <c r="E185" i="7" s="1"/>
  <c r="BK20" i="13"/>
  <c r="J11" i="6" s="1"/>
  <c r="C178" i="7"/>
  <c r="D176" i="8"/>
  <c r="D178" i="8" s="1"/>
  <c r="D190" i="7"/>
  <c r="K7" i="25"/>
  <c r="K9" i="25" s="1"/>
  <c r="K13" i="25" s="1"/>
  <c r="L6" i="8"/>
  <c r="L8" i="8" s="1"/>
  <c r="L12" i="8" s="1"/>
  <c r="BH20" i="10"/>
  <c r="H13" i="6" s="1"/>
  <c r="BH19" i="10"/>
  <c r="C94" i="7" s="1"/>
  <c r="M134" i="7"/>
  <c r="L49" i="8"/>
  <c r="L53" i="8" s="1"/>
  <c r="L55" i="7"/>
  <c r="N134" i="7"/>
  <c r="N140" i="7" s="1"/>
  <c r="I134" i="7"/>
  <c r="I140" i="7" s="1"/>
  <c r="M8" i="7"/>
  <c r="M12" i="7" s="1"/>
  <c r="L134" i="7"/>
  <c r="L140" i="7" s="1"/>
  <c r="O54" i="7"/>
  <c r="AM41" i="13"/>
  <c r="H12" i="6" s="1"/>
  <c r="C93" i="7"/>
  <c r="J108" i="8"/>
  <c r="K116" i="7"/>
  <c r="O9" i="8"/>
  <c r="O11" i="8" s="1"/>
  <c r="C11" i="8"/>
  <c r="I169" i="8"/>
  <c r="I173" i="8" s="1"/>
  <c r="D128" i="8"/>
  <c r="D134" i="8" s="1"/>
  <c r="G65" i="8"/>
  <c r="H67" i="7"/>
  <c r="O89" i="8"/>
  <c r="C90" i="8"/>
  <c r="M7" i="25"/>
  <c r="M9" i="25" s="1"/>
  <c r="M13" i="25" s="1"/>
  <c r="N6" i="8"/>
  <c r="L7" i="25"/>
  <c r="L9" i="25" s="1"/>
  <c r="L13" i="25" s="1"/>
  <c r="M6" i="8"/>
  <c r="M8" i="8" s="1"/>
  <c r="M12" i="8" s="1"/>
  <c r="BP19" i="10"/>
  <c r="G94" i="7" s="1"/>
  <c r="G86" i="8" s="1"/>
  <c r="E25" i="4"/>
  <c r="E49" i="4" s="1"/>
  <c r="P19" i="10"/>
  <c r="E7" i="7" s="1"/>
  <c r="E8" i="7" s="1"/>
  <c r="E12" i="7" s="1"/>
  <c r="K39" i="3"/>
  <c r="K44" i="3" s="1"/>
  <c r="J44" i="3"/>
  <c r="F125" i="8"/>
  <c r="F128" i="8" s="1"/>
  <c r="F134" i="8" s="1"/>
  <c r="F134" i="7"/>
  <c r="F140" i="7" s="1"/>
  <c r="M84" i="8"/>
  <c r="M87" i="8" s="1"/>
  <c r="M93" i="8" s="1"/>
  <c r="M95" i="7"/>
  <c r="M101" i="7" s="1"/>
  <c r="G84" i="8"/>
  <c r="AM20" i="13"/>
  <c r="H11" i="6" s="1"/>
  <c r="H14" i="6" s="1"/>
  <c r="H19" i="6" s="1"/>
  <c r="C92" i="7"/>
  <c r="O41" i="13"/>
  <c r="F12" i="6" s="1"/>
  <c r="K12" i="6" s="1"/>
  <c r="C6" i="7"/>
  <c r="BJ19" i="10"/>
  <c r="D94" i="7" s="1"/>
  <c r="D86" i="8" s="1"/>
  <c r="DD20" i="10"/>
  <c r="J13" i="6" s="1"/>
  <c r="DD19" i="10"/>
  <c r="C180" i="7" s="1"/>
  <c r="I95" i="8"/>
  <c r="I142" i="7"/>
  <c r="J103" i="7"/>
  <c r="N95" i="7"/>
  <c r="N101" i="7" s="1"/>
  <c r="F8" i="7"/>
  <c r="F12" i="7" s="1"/>
  <c r="M128" i="8"/>
  <c r="M134" i="8" s="1"/>
  <c r="E51" i="7"/>
  <c r="E55" i="7" s="1"/>
  <c r="D181" i="7"/>
  <c r="D185" i="7" s="1"/>
  <c r="G51" i="7"/>
  <c r="G55" i="7" s="1"/>
  <c r="E7" i="25"/>
  <c r="E9" i="25" s="1"/>
  <c r="E13" i="25" s="1"/>
  <c r="F6" i="8"/>
  <c r="F8" i="8" s="1"/>
  <c r="F12" i="8" s="1"/>
  <c r="AB19" i="10"/>
  <c r="K7" i="7" s="1"/>
  <c r="N128" i="8"/>
  <c r="N134" i="8" s="1"/>
  <c r="F49" i="8"/>
  <c r="F53" i="8" s="1"/>
  <c r="I128" i="8"/>
  <c r="I134" i="8" s="1"/>
  <c r="D51" i="7"/>
  <c r="D55" i="7" s="1"/>
  <c r="C46" i="8"/>
  <c r="O48" i="7"/>
  <c r="L8" i="7"/>
  <c r="L12" i="7" s="1"/>
  <c r="K95" i="7"/>
  <c r="K101" i="7" s="1"/>
  <c r="O50" i="8"/>
  <c r="O52" i="8" s="1"/>
  <c r="C52" i="8"/>
  <c r="AX19" i="10"/>
  <c r="J50" i="7" s="1"/>
  <c r="E177" i="8"/>
  <c r="M140" i="7"/>
  <c r="AV19" i="10"/>
  <c r="I50" i="7" s="1"/>
  <c r="I48" i="8" s="1"/>
  <c r="N10" i="25"/>
  <c r="N12" i="25" s="1"/>
  <c r="B12" i="25"/>
  <c r="J128" i="8"/>
  <c r="J134" i="8" s="1"/>
  <c r="E134" i="7"/>
  <c r="E140" i="7" s="1"/>
  <c r="I8" i="7"/>
  <c r="I12" i="7" s="1"/>
  <c r="D134" i="7"/>
  <c r="D140" i="7" s="1"/>
  <c r="C125" i="8"/>
  <c r="O131" i="7"/>
  <c r="C134" i="7"/>
  <c r="C140" i="7" s="1"/>
  <c r="F9" i="25"/>
  <c r="F13" i="25" s="1"/>
  <c r="DL19" i="10"/>
  <c r="G180" i="7" s="1"/>
  <c r="G168" i="8" s="1"/>
  <c r="G169" i="8" s="1"/>
  <c r="G173" i="8" s="1"/>
  <c r="E99" i="8"/>
  <c r="I99" i="8"/>
  <c r="K99" i="8"/>
  <c r="M191" i="7"/>
  <c r="I191" i="7"/>
  <c r="E191" i="7"/>
  <c r="L191" i="7"/>
  <c r="H191" i="7"/>
  <c r="D191" i="7"/>
  <c r="J191" i="7"/>
  <c r="G191" i="7"/>
  <c r="N191" i="7"/>
  <c r="F191" i="7"/>
  <c r="C191" i="7"/>
  <c r="K191" i="7"/>
  <c r="N8" i="8" l="1"/>
  <c r="N12" i="8" s="1"/>
  <c r="G8" i="8"/>
  <c r="G12" i="8" s="1"/>
  <c r="D95" i="7"/>
  <c r="D101" i="7" s="1"/>
  <c r="D8" i="8"/>
  <c r="D12" i="8" s="1"/>
  <c r="I49" i="8"/>
  <c r="I53" i="8" s="1"/>
  <c r="H48" i="8"/>
  <c r="H49" i="8" s="1"/>
  <c r="H53" i="8" s="1"/>
  <c r="H51" i="7"/>
  <c r="H55" i="7" s="1"/>
  <c r="C179" i="8"/>
  <c r="J48" i="8"/>
  <c r="J49" i="8" s="1"/>
  <c r="J53" i="8" s="1"/>
  <c r="J51" i="7"/>
  <c r="J55" i="7" s="1"/>
  <c r="O46" i="8"/>
  <c r="J8" i="25"/>
  <c r="J9" i="25" s="1"/>
  <c r="J13" i="25" s="1"/>
  <c r="K7" i="8"/>
  <c r="K8" i="8" s="1"/>
  <c r="K12" i="8" s="1"/>
  <c r="C59" i="8"/>
  <c r="C70" i="8" s="1"/>
  <c r="C71" i="8" s="1"/>
  <c r="C72" i="7"/>
  <c r="E59" i="8"/>
  <c r="E70" i="8" s="1"/>
  <c r="E71" i="8" s="1"/>
  <c r="E72" i="7"/>
  <c r="F98" i="8"/>
  <c r="G138" i="8"/>
  <c r="G189" i="7"/>
  <c r="K20" i="25"/>
  <c r="K31" i="25" s="1"/>
  <c r="K32" i="25" s="1"/>
  <c r="L18" i="8"/>
  <c r="L29" i="8" s="1"/>
  <c r="L30" i="8" s="1"/>
  <c r="L29" i="7"/>
  <c r="H20" i="25"/>
  <c r="H31" i="25" s="1"/>
  <c r="H32" i="25" s="1"/>
  <c r="I18" i="8"/>
  <c r="I29" i="8" s="1"/>
  <c r="I30" i="8" s="1"/>
  <c r="I29" i="7"/>
  <c r="M20" i="25"/>
  <c r="M31" i="25" s="1"/>
  <c r="M32" i="25" s="1"/>
  <c r="N18" i="8"/>
  <c r="N29" i="8" s="1"/>
  <c r="N30" i="8" s="1"/>
  <c r="N29" i="7"/>
  <c r="C47" i="8"/>
  <c r="O47" i="8" s="1"/>
  <c r="O49" i="7"/>
  <c r="O50" i="7"/>
  <c r="D179" i="8"/>
  <c r="G95" i="7"/>
  <c r="G101" i="7" s="1"/>
  <c r="D8" i="25"/>
  <c r="E7" i="8"/>
  <c r="E173" i="8"/>
  <c r="G58" i="8"/>
  <c r="H140" i="8"/>
  <c r="I140" i="8"/>
  <c r="F20" i="25"/>
  <c r="F31" i="25" s="1"/>
  <c r="F32" i="25" s="1"/>
  <c r="G18" i="8"/>
  <c r="G29" i="8" s="1"/>
  <c r="G30" i="8" s="1"/>
  <c r="G29" i="7"/>
  <c r="I51" i="7"/>
  <c r="I55" i="7" s="1"/>
  <c r="O114" i="8"/>
  <c r="H24" i="6"/>
  <c r="C51" i="7"/>
  <c r="C55" i="7" s="1"/>
  <c r="I136" i="8"/>
  <c r="G87" i="8"/>
  <c r="G93" i="8" s="1"/>
  <c r="K108" i="8"/>
  <c r="L116" i="7"/>
  <c r="C166" i="8"/>
  <c r="C181" i="7"/>
  <c r="C185" i="7" s="1"/>
  <c r="O178" i="7"/>
  <c r="J8" i="8"/>
  <c r="J12" i="8" s="1"/>
  <c r="K17" i="3"/>
  <c r="K25" i="3" s="1"/>
  <c r="K49" i="3" s="1"/>
  <c r="J25" i="3"/>
  <c r="J49" i="3" s="1"/>
  <c r="K59" i="8"/>
  <c r="N59" i="8"/>
  <c r="H59" i="8"/>
  <c r="H72" i="7"/>
  <c r="M59" i="8"/>
  <c r="C140" i="8"/>
  <c r="D140" i="8"/>
  <c r="M140" i="8"/>
  <c r="F188" i="7"/>
  <c r="F137" i="8"/>
  <c r="F139" i="8" s="1"/>
  <c r="F145" i="7"/>
  <c r="C127" i="8"/>
  <c r="O127" i="8" s="1"/>
  <c r="O133" i="7"/>
  <c r="H95" i="7"/>
  <c r="H101" i="7" s="1"/>
  <c r="E176" i="8"/>
  <c r="E190" i="7"/>
  <c r="B8" i="25"/>
  <c r="O7" i="7"/>
  <c r="C7" i="8"/>
  <c r="D87" i="8"/>
  <c r="D93" i="8" s="1"/>
  <c r="J20" i="25"/>
  <c r="J31" i="25" s="1"/>
  <c r="J32" i="25" s="1"/>
  <c r="K18" i="8"/>
  <c r="K29" i="8" s="1"/>
  <c r="K30" i="8" s="1"/>
  <c r="K29" i="7"/>
  <c r="G20" i="25"/>
  <c r="G31" i="25" s="1"/>
  <c r="G32" i="25" s="1"/>
  <c r="H18" i="8"/>
  <c r="H29" i="8" s="1"/>
  <c r="H30" i="8" s="1"/>
  <c r="H29" i="7"/>
  <c r="H31" i="7" s="1"/>
  <c r="H41" i="7" s="1"/>
  <c r="E20" i="25"/>
  <c r="E31" i="25" s="1"/>
  <c r="E32" i="25" s="1"/>
  <c r="F18" i="8"/>
  <c r="F29" i="8" s="1"/>
  <c r="F30" i="8" s="1"/>
  <c r="F29" i="7"/>
  <c r="H107" i="8"/>
  <c r="I115" i="7"/>
  <c r="G51" i="3"/>
  <c r="J179" i="8"/>
  <c r="J95" i="8"/>
  <c r="J142" i="7"/>
  <c r="K103" i="7"/>
  <c r="C168" i="8"/>
  <c r="O180" i="7"/>
  <c r="H65" i="8"/>
  <c r="I67" i="7"/>
  <c r="C85" i="8"/>
  <c r="O85" i="8" s="1"/>
  <c r="O93" i="7"/>
  <c r="C86" i="8"/>
  <c r="O86" i="8" s="1"/>
  <c r="O94" i="7"/>
  <c r="O5" i="8"/>
  <c r="C8" i="8"/>
  <c r="C12" i="8" s="1"/>
  <c r="L73" i="7"/>
  <c r="H73" i="7"/>
  <c r="D73" i="7"/>
  <c r="K73" i="7"/>
  <c r="G73" i="7"/>
  <c r="C73" i="7"/>
  <c r="N73" i="7"/>
  <c r="F73" i="7"/>
  <c r="E73" i="7"/>
  <c r="M73" i="7"/>
  <c r="J73" i="7"/>
  <c r="I73" i="7"/>
  <c r="J59" i="8"/>
  <c r="L140" i="8"/>
  <c r="E140" i="8"/>
  <c r="J140" i="8"/>
  <c r="L30" i="7"/>
  <c r="H30" i="7"/>
  <c r="D30" i="7"/>
  <c r="K30" i="7"/>
  <c r="G30" i="7"/>
  <c r="C30" i="7"/>
  <c r="J30" i="7"/>
  <c r="I30" i="7"/>
  <c r="N30" i="7"/>
  <c r="F30" i="7"/>
  <c r="M30" i="7"/>
  <c r="E30" i="7"/>
  <c r="F179" i="8"/>
  <c r="E179" i="8"/>
  <c r="O125" i="8"/>
  <c r="H32" i="7"/>
  <c r="N6" i="25"/>
  <c r="C167" i="8"/>
  <c r="O167" i="8" s="1"/>
  <c r="O179" i="7"/>
  <c r="O72" i="8"/>
  <c r="G24" i="6"/>
  <c r="F72" i="7"/>
  <c r="F59" i="8"/>
  <c r="F70" i="8" s="1"/>
  <c r="F71" i="8" s="1"/>
  <c r="D59" i="8"/>
  <c r="D70" i="8" s="1"/>
  <c r="D71" i="8" s="1"/>
  <c r="D72" i="7"/>
  <c r="I59" i="8"/>
  <c r="N140" i="8"/>
  <c r="F14" i="6"/>
  <c r="F19" i="6" s="1"/>
  <c r="K11" i="6"/>
  <c r="K13" i="6"/>
  <c r="D9" i="25"/>
  <c r="D13" i="25" s="1"/>
  <c r="H97" i="8"/>
  <c r="H144" i="7"/>
  <c r="I105" i="7"/>
  <c r="B20" i="25"/>
  <c r="B31" i="25" s="1"/>
  <c r="B32" i="25" s="1"/>
  <c r="C18" i="8"/>
  <c r="C29" i="8" s="1"/>
  <c r="C30" i="8" s="1"/>
  <c r="C29" i="7"/>
  <c r="L20" i="25"/>
  <c r="L31" i="25" s="1"/>
  <c r="L32" i="25" s="1"/>
  <c r="M29" i="7"/>
  <c r="M31" i="7" s="1"/>
  <c r="M41" i="7" s="1"/>
  <c r="M18" i="8"/>
  <c r="M29" i="8" s="1"/>
  <c r="M30" i="8" s="1"/>
  <c r="O48" i="8"/>
  <c r="F25" i="6"/>
  <c r="C52" i="3"/>
  <c r="N179" i="8"/>
  <c r="H179" i="8"/>
  <c r="I179" i="8"/>
  <c r="K179" i="8"/>
  <c r="G179" i="8"/>
  <c r="L179" i="8"/>
  <c r="M179" i="8"/>
  <c r="G181" i="7"/>
  <c r="G185" i="7" s="1"/>
  <c r="B7" i="25"/>
  <c r="N7" i="25" s="1"/>
  <c r="O6" i="7"/>
  <c r="C6" i="8"/>
  <c r="O6" i="8" s="1"/>
  <c r="C84" i="8"/>
  <c r="O92" i="7"/>
  <c r="O95" i="7" s="1"/>
  <c r="C95" i="7"/>
  <c r="C101" i="7" s="1"/>
  <c r="H134" i="7"/>
  <c r="H140" i="7" s="1"/>
  <c r="O140" i="7" s="1"/>
  <c r="L25" i="9" s="1"/>
  <c r="L27" i="9" s="1"/>
  <c r="L35" i="9" s="1"/>
  <c r="J14" i="6"/>
  <c r="J19" i="6" s="1"/>
  <c r="C126" i="8"/>
  <c r="O126" i="8" s="1"/>
  <c r="O132" i="7"/>
  <c r="O134" i="7" s="1"/>
  <c r="H57" i="8"/>
  <c r="H58" i="8" s="1"/>
  <c r="I59" i="7"/>
  <c r="H60" i="7"/>
  <c r="H74" i="7" s="1"/>
  <c r="H84" i="7" s="1"/>
  <c r="K8" i="7"/>
  <c r="K12" i="7" s="1"/>
  <c r="C8" i="7"/>
  <c r="C12" i="7" s="1"/>
  <c r="J149" i="8"/>
  <c r="K155" i="7"/>
  <c r="I9" i="25"/>
  <c r="I13" i="25" s="1"/>
  <c r="F25" i="4"/>
  <c r="F49" i="4" s="1"/>
  <c r="F168" i="8"/>
  <c r="F169" i="8" s="1"/>
  <c r="F173" i="8" s="1"/>
  <c r="F181" i="7"/>
  <c r="F185" i="7" s="1"/>
  <c r="O90" i="8"/>
  <c r="E51" i="3"/>
  <c r="G59" i="8"/>
  <c r="G70" i="8" s="1"/>
  <c r="G72" i="7"/>
  <c r="G74" i="7" s="1"/>
  <c r="G84" i="7" s="1"/>
  <c r="L59" i="8"/>
  <c r="K140" i="8"/>
  <c r="G140" i="8"/>
  <c r="F140" i="8"/>
  <c r="G96" i="8"/>
  <c r="G98" i="8" s="1"/>
  <c r="G143" i="7"/>
  <c r="H104" i="7"/>
  <c r="G106" i="7"/>
  <c r="H87" i="8"/>
  <c r="H93" i="8" s="1"/>
  <c r="E139" i="8"/>
  <c r="E8" i="8"/>
  <c r="E12" i="8" s="1"/>
  <c r="C20" i="25"/>
  <c r="C31" i="25" s="1"/>
  <c r="C32" i="25" s="1"/>
  <c r="D18" i="8"/>
  <c r="D29" i="8" s="1"/>
  <c r="D30" i="8" s="1"/>
  <c r="D29" i="7"/>
  <c r="D31" i="7" s="1"/>
  <c r="D41" i="7" s="1"/>
  <c r="D20" i="25"/>
  <c r="D31" i="25" s="1"/>
  <c r="D32" i="25" s="1"/>
  <c r="E29" i="7"/>
  <c r="E18" i="8"/>
  <c r="E29" i="8" s="1"/>
  <c r="E30" i="8" s="1"/>
  <c r="I20" i="25"/>
  <c r="I31" i="25" s="1"/>
  <c r="I32" i="25" s="1"/>
  <c r="J18" i="8"/>
  <c r="J29" i="8" s="1"/>
  <c r="J30" i="8" s="1"/>
  <c r="J29" i="7"/>
  <c r="J31" i="7" s="1"/>
  <c r="J41" i="7" s="1"/>
  <c r="G14" i="6"/>
  <c r="G19" i="6" s="1"/>
  <c r="O160" i="7"/>
  <c r="I50" i="3"/>
  <c r="I51" i="3" s="1"/>
  <c r="N33" i="25"/>
  <c r="O31" i="8"/>
  <c r="F24" i="6"/>
  <c r="M121" i="7"/>
  <c r="I121" i="7"/>
  <c r="E121" i="7"/>
  <c r="L121" i="7"/>
  <c r="H121" i="7"/>
  <c r="D121" i="7"/>
  <c r="G121" i="7"/>
  <c r="F121" i="7"/>
  <c r="N121" i="7"/>
  <c r="K121" i="7"/>
  <c r="C121" i="7"/>
  <c r="J121" i="7"/>
  <c r="N8" i="25" l="1"/>
  <c r="O51" i="7"/>
  <c r="O55" i="7" s="1"/>
  <c r="E25" i="9" s="1"/>
  <c r="E27" i="9" s="1"/>
  <c r="E35" i="9" s="1"/>
  <c r="C74" i="7"/>
  <c r="C84" i="7" s="1"/>
  <c r="O8" i="7"/>
  <c r="O12" i="7" s="1"/>
  <c r="K14" i="6"/>
  <c r="K19" i="6" s="1"/>
  <c r="D74" i="7"/>
  <c r="D84" i="7" s="1"/>
  <c r="M32" i="7"/>
  <c r="O158" i="8"/>
  <c r="L36" i="9"/>
  <c r="E36" i="9"/>
  <c r="O75" i="8"/>
  <c r="B25" i="9"/>
  <c r="B27" i="9" s="1"/>
  <c r="B35" i="9" s="1"/>
  <c r="I52" i="3"/>
  <c r="I25" i="6"/>
  <c r="O29" i="7"/>
  <c r="C31" i="7"/>
  <c r="C41" i="7" s="1"/>
  <c r="K50" i="3"/>
  <c r="K51" i="3" s="1"/>
  <c r="O204" i="7"/>
  <c r="L31" i="7"/>
  <c r="O49" i="8"/>
  <c r="O53" i="8" s="1"/>
  <c r="K160" i="7"/>
  <c r="G160" i="7"/>
  <c r="C160" i="7"/>
  <c r="N160" i="7"/>
  <c r="J160" i="7"/>
  <c r="F160" i="7"/>
  <c r="L160" i="7"/>
  <c r="D160" i="7"/>
  <c r="I160" i="7"/>
  <c r="H160" i="7"/>
  <c r="M160" i="7"/>
  <c r="E160" i="7"/>
  <c r="C32" i="7"/>
  <c r="C33" i="7" s="1"/>
  <c r="C35" i="7" s="1"/>
  <c r="O84" i="8"/>
  <c r="O87" i="8" s="1"/>
  <c r="O93" i="8" s="1"/>
  <c r="C87" i="8"/>
  <c r="C93" i="8" s="1"/>
  <c r="K31" i="7"/>
  <c r="K41" i="7" s="1"/>
  <c r="O181" i="7"/>
  <c r="H96" i="8"/>
  <c r="H98" i="8" s="1"/>
  <c r="H143" i="7"/>
  <c r="I104" i="7"/>
  <c r="H106" i="7"/>
  <c r="I57" i="8"/>
  <c r="I58" i="8" s="1"/>
  <c r="J59" i="7"/>
  <c r="I60" i="7"/>
  <c r="H34" i="25"/>
  <c r="E34" i="25"/>
  <c r="K34" i="25"/>
  <c r="I32" i="8"/>
  <c r="C73" i="8"/>
  <c r="F32" i="8"/>
  <c r="L32" i="8"/>
  <c r="B9" i="25"/>
  <c r="B13" i="25" s="1"/>
  <c r="C128" i="8"/>
  <c r="C134" i="8" s="1"/>
  <c r="I65" i="8"/>
  <c r="I70" i="8" s="1"/>
  <c r="J67" i="7"/>
  <c r="O168" i="8"/>
  <c r="J136" i="8"/>
  <c r="O185" i="7"/>
  <c r="P25" i="9" s="1"/>
  <c r="P27" i="9" s="1"/>
  <c r="P35" i="9" s="1"/>
  <c r="M116" i="7"/>
  <c r="L108" i="8"/>
  <c r="M114" i="8"/>
  <c r="I114" i="8"/>
  <c r="E114" i="8"/>
  <c r="L114" i="8"/>
  <c r="H114" i="8"/>
  <c r="D114" i="8"/>
  <c r="G114" i="8"/>
  <c r="N114" i="8"/>
  <c r="F114" i="8"/>
  <c r="J114" i="8"/>
  <c r="C114" i="8"/>
  <c r="K114" i="8"/>
  <c r="N31" i="7"/>
  <c r="E74" i="7"/>
  <c r="E84" i="7" s="1"/>
  <c r="K32" i="7"/>
  <c r="H138" i="8"/>
  <c r="H189" i="7"/>
  <c r="H177" i="8" s="1"/>
  <c r="K95" i="8"/>
  <c r="L103" i="7"/>
  <c r="K142" i="7"/>
  <c r="G31" i="7"/>
  <c r="G177" i="8"/>
  <c r="M31" i="8"/>
  <c r="I31" i="8"/>
  <c r="E31" i="8"/>
  <c r="L31" i="8"/>
  <c r="H31" i="8"/>
  <c r="D31" i="8"/>
  <c r="D35" i="8" s="1"/>
  <c r="D36" i="8" s="1"/>
  <c r="K31" i="8"/>
  <c r="C31" i="8"/>
  <c r="C35" i="8" s="1"/>
  <c r="C36" i="8" s="1"/>
  <c r="J31" i="8"/>
  <c r="N31" i="8"/>
  <c r="G31" i="8"/>
  <c r="F31" i="8"/>
  <c r="M72" i="8"/>
  <c r="I72" i="8"/>
  <c r="E72" i="8"/>
  <c r="L72" i="8"/>
  <c r="H72" i="8"/>
  <c r="D72" i="8"/>
  <c r="N72" i="8"/>
  <c r="F72" i="8"/>
  <c r="K72" i="8"/>
  <c r="C72" i="8"/>
  <c r="J72" i="8"/>
  <c r="G72" i="8"/>
  <c r="I107" i="8"/>
  <c r="J115" i="7"/>
  <c r="I31" i="7"/>
  <c r="L33" i="25"/>
  <c r="H33" i="25"/>
  <c r="D33" i="25"/>
  <c r="D37" i="25" s="1"/>
  <c r="K33" i="25"/>
  <c r="G33" i="25"/>
  <c r="C33" i="25"/>
  <c r="C37" i="25" s="1"/>
  <c r="J33" i="25"/>
  <c r="F33" i="25"/>
  <c r="B33" i="25"/>
  <c r="M33" i="25"/>
  <c r="I33" i="25"/>
  <c r="E33" i="25"/>
  <c r="E35" i="8"/>
  <c r="O155" i="8"/>
  <c r="I24" i="6"/>
  <c r="E31" i="7"/>
  <c r="G137" i="8"/>
  <c r="G188" i="7"/>
  <c r="G145" i="7"/>
  <c r="G25" i="6"/>
  <c r="E52" i="3"/>
  <c r="K149" i="8"/>
  <c r="L155" i="7"/>
  <c r="O101" i="7"/>
  <c r="H25" i="9" s="1"/>
  <c r="H27" i="9" s="1"/>
  <c r="H35" i="9" s="1"/>
  <c r="I97" i="8"/>
  <c r="I144" i="7"/>
  <c r="J105" i="7"/>
  <c r="I72" i="7"/>
  <c r="F74" i="7"/>
  <c r="F84" i="7" s="1"/>
  <c r="J32" i="7"/>
  <c r="N9" i="25"/>
  <c r="N13" i="25" s="1"/>
  <c r="O128" i="8"/>
  <c r="O134" i="8" s="1"/>
  <c r="G52" i="3"/>
  <c r="H25" i="6"/>
  <c r="F31" i="7"/>
  <c r="O7" i="8"/>
  <c r="O8" i="8" s="1"/>
  <c r="O12" i="8" s="1"/>
  <c r="E178" i="8"/>
  <c r="F176" i="8"/>
  <c r="F178" i="8" s="1"/>
  <c r="F190" i="7"/>
  <c r="H70" i="8"/>
  <c r="H71" i="8" s="1"/>
  <c r="C169" i="8"/>
  <c r="C173" i="8" s="1"/>
  <c r="O166" i="8"/>
  <c r="O169" i="8" s="1"/>
  <c r="O173" i="8" s="1"/>
  <c r="D32" i="7"/>
  <c r="G71" i="8"/>
  <c r="C49" i="8"/>
  <c r="C53" i="8" s="1"/>
  <c r="F35" i="8" l="1"/>
  <c r="E37" i="25"/>
  <c r="F36" i="8"/>
  <c r="I71" i="8"/>
  <c r="L41" i="7"/>
  <c r="L32" i="7"/>
  <c r="F22" i="6"/>
  <c r="O31" i="7"/>
  <c r="C156" i="8"/>
  <c r="F115" i="8"/>
  <c r="L115" i="8"/>
  <c r="I115" i="8"/>
  <c r="E36" i="8"/>
  <c r="K136" i="8"/>
  <c r="J104" i="7"/>
  <c r="I143" i="7"/>
  <c r="I96" i="8"/>
  <c r="I98" i="8" s="1"/>
  <c r="I106" i="7"/>
  <c r="N36" i="25"/>
  <c r="B36" i="9"/>
  <c r="O34" i="8"/>
  <c r="N75" i="8"/>
  <c r="J75" i="8"/>
  <c r="F75" i="8"/>
  <c r="M75" i="8"/>
  <c r="I75" i="8"/>
  <c r="E75" i="8"/>
  <c r="E76" i="8" s="1"/>
  <c r="K75" i="8"/>
  <c r="C75" i="8"/>
  <c r="C76" i="8" s="1"/>
  <c r="C77" i="8" s="1"/>
  <c r="H75" i="8"/>
  <c r="H76" i="8" s="1"/>
  <c r="G75" i="8"/>
  <c r="D75" i="8"/>
  <c r="D76" i="8" s="1"/>
  <c r="L75" i="8"/>
  <c r="B39" i="25"/>
  <c r="N37" i="25"/>
  <c r="G176" i="8"/>
  <c r="G190" i="7"/>
  <c r="I41" i="7"/>
  <c r="I32" i="7"/>
  <c r="M103" i="7"/>
  <c r="L142" i="7"/>
  <c r="L95" i="8"/>
  <c r="B37" i="25"/>
  <c r="B38" i="25" s="1"/>
  <c r="C38" i="25" s="1"/>
  <c r="D38" i="25" s="1"/>
  <c r="E38" i="25" s="1"/>
  <c r="I74" i="7"/>
  <c r="I84" i="7" s="1"/>
  <c r="H137" i="8"/>
  <c r="H139" i="8" s="1"/>
  <c r="H188" i="7"/>
  <c r="H145" i="7"/>
  <c r="N204" i="7"/>
  <c r="J204" i="7"/>
  <c r="F204" i="7"/>
  <c r="M204" i="7"/>
  <c r="I204" i="7"/>
  <c r="E204" i="7"/>
  <c r="G204" i="7"/>
  <c r="D204" i="7"/>
  <c r="L204" i="7"/>
  <c r="K204" i="7"/>
  <c r="C204" i="7"/>
  <c r="H204" i="7"/>
  <c r="I189" i="7"/>
  <c r="I138" i="8"/>
  <c r="N41" i="7"/>
  <c r="N32" i="7"/>
  <c r="N116" i="7"/>
  <c r="N108" i="8" s="1"/>
  <c r="M108" i="8"/>
  <c r="J25" i="6"/>
  <c r="K25" i="6" s="1"/>
  <c r="K52" i="3"/>
  <c r="L149" i="8"/>
  <c r="M155" i="7"/>
  <c r="E41" i="7"/>
  <c r="E32" i="7"/>
  <c r="G41" i="7"/>
  <c r="G32" i="7"/>
  <c r="P36" i="9"/>
  <c r="O196" i="8"/>
  <c r="H36" i="9"/>
  <c r="O117" i="8"/>
  <c r="D33" i="7"/>
  <c r="D35" i="7" s="1"/>
  <c r="F41" i="7"/>
  <c r="F32" i="7"/>
  <c r="J97" i="8"/>
  <c r="J144" i="7"/>
  <c r="K105" i="7"/>
  <c r="F73" i="8"/>
  <c r="F76" i="8" s="1"/>
  <c r="C115" i="8"/>
  <c r="L73" i="8"/>
  <c r="I73" i="8"/>
  <c r="G139" i="8"/>
  <c r="M193" i="8"/>
  <c r="I193" i="8"/>
  <c r="E193" i="8"/>
  <c r="K155" i="8"/>
  <c r="G155" i="8"/>
  <c r="C155" i="8"/>
  <c r="L193" i="8"/>
  <c r="H193" i="8"/>
  <c r="D193" i="8"/>
  <c r="N155" i="8"/>
  <c r="J155" i="8"/>
  <c r="F155" i="8"/>
  <c r="K193" i="8"/>
  <c r="G193" i="8"/>
  <c r="C193" i="8"/>
  <c r="M155" i="8"/>
  <c r="I155" i="8"/>
  <c r="E155" i="8"/>
  <c r="J193" i="8"/>
  <c r="F193" i="8"/>
  <c r="L155" i="8"/>
  <c r="N193" i="8"/>
  <c r="H155" i="8"/>
  <c r="D155" i="8"/>
  <c r="J107" i="8"/>
  <c r="K115" i="7"/>
  <c r="J65" i="8"/>
  <c r="J70" i="8" s="1"/>
  <c r="K67" i="7"/>
  <c r="J72" i="7"/>
  <c r="O32" i="8"/>
  <c r="O35" i="8" s="1"/>
  <c r="J60" i="7"/>
  <c r="J57" i="8"/>
  <c r="J58" i="8" s="1"/>
  <c r="J71" i="8" s="1"/>
  <c r="J76" i="8" s="1"/>
  <c r="K59" i="7"/>
  <c r="O193" i="8"/>
  <c r="J24" i="6"/>
  <c r="K24" i="6" s="1"/>
  <c r="L156" i="8"/>
  <c r="C194" i="8"/>
  <c r="I156" i="8"/>
  <c r="F156" i="8"/>
  <c r="L158" i="8"/>
  <c r="H158" i="8"/>
  <c r="D158" i="8"/>
  <c r="K158" i="8"/>
  <c r="G158" i="8"/>
  <c r="C158" i="8"/>
  <c r="N158" i="8"/>
  <c r="J158" i="8"/>
  <c r="F158" i="8"/>
  <c r="M158" i="8"/>
  <c r="I158" i="8"/>
  <c r="E158" i="8"/>
  <c r="O73" i="8" l="1"/>
  <c r="F194" i="8"/>
  <c r="L194" i="8"/>
  <c r="I194" i="8"/>
  <c r="L136" i="8"/>
  <c r="I76" i="8"/>
  <c r="E33" i="7"/>
  <c r="E35" i="7" s="1"/>
  <c r="O108" i="8"/>
  <c r="Q108" i="8" s="1"/>
  <c r="L34" i="8"/>
  <c r="L35" i="8" s="1"/>
  <c r="H34" i="8"/>
  <c r="H35" i="8" s="1"/>
  <c r="K34" i="8"/>
  <c r="K35" i="8" s="1"/>
  <c r="G34" i="8"/>
  <c r="G35" i="8" s="1"/>
  <c r="G36" i="8" s="1"/>
  <c r="N34" i="8"/>
  <c r="N35" i="8" s="1"/>
  <c r="M34" i="8"/>
  <c r="M35" i="8" s="1"/>
  <c r="I34" i="8"/>
  <c r="I35" i="8" s="1"/>
  <c r="J34" i="8"/>
  <c r="J35" i="8" s="1"/>
  <c r="C38" i="8"/>
  <c r="F26" i="6"/>
  <c r="J74" i="7"/>
  <c r="J84" i="7" s="1"/>
  <c r="O115" i="8"/>
  <c r="J138" i="8"/>
  <c r="J189" i="7"/>
  <c r="J177" i="8" s="1"/>
  <c r="H176" i="8"/>
  <c r="H178" i="8" s="1"/>
  <c r="H190" i="7"/>
  <c r="D77" i="8"/>
  <c r="I137" i="8"/>
  <c r="I188" i="7"/>
  <c r="I145" i="7"/>
  <c r="K57" i="8"/>
  <c r="K58" i="8" s="1"/>
  <c r="K60" i="7"/>
  <c r="L59" i="7"/>
  <c r="K107" i="8"/>
  <c r="L115" i="7"/>
  <c r="O41" i="7"/>
  <c r="O32" i="7"/>
  <c r="L105" i="7"/>
  <c r="K144" i="7"/>
  <c r="K97" i="8"/>
  <c r="M117" i="8"/>
  <c r="I117" i="8"/>
  <c r="E117" i="8"/>
  <c r="L117" i="8"/>
  <c r="H117" i="8"/>
  <c r="D117" i="8"/>
  <c r="K117" i="8"/>
  <c r="C117" i="8"/>
  <c r="J117" i="8"/>
  <c r="F117" i="8"/>
  <c r="G117" i="8"/>
  <c r="N117" i="8"/>
  <c r="M149" i="8"/>
  <c r="N155" i="7"/>
  <c r="I177" i="8"/>
  <c r="M95" i="8"/>
  <c r="M142" i="7"/>
  <c r="N103" i="7"/>
  <c r="O103" i="7" s="1"/>
  <c r="G178" i="8"/>
  <c r="O156" i="8"/>
  <c r="L67" i="7"/>
  <c r="K65" i="8"/>
  <c r="K70" i="8" s="1"/>
  <c r="K72" i="7"/>
  <c r="N196" i="8"/>
  <c r="J196" i="8"/>
  <c r="F196" i="8"/>
  <c r="M196" i="8"/>
  <c r="I196" i="8"/>
  <c r="E196" i="8"/>
  <c r="L196" i="8"/>
  <c r="H196" i="8"/>
  <c r="D196" i="8"/>
  <c r="G196" i="8"/>
  <c r="C196" i="8"/>
  <c r="K196" i="8"/>
  <c r="O116" i="7"/>
  <c r="Q116" i="7" s="1"/>
  <c r="E77" i="8"/>
  <c r="F77" i="8" s="1"/>
  <c r="L36" i="25"/>
  <c r="L37" i="25" s="1"/>
  <c r="H36" i="25"/>
  <c r="H37" i="25" s="1"/>
  <c r="K36" i="25"/>
  <c r="K37" i="25" s="1"/>
  <c r="G36" i="25"/>
  <c r="G37" i="25" s="1"/>
  <c r="G38" i="25" s="1"/>
  <c r="J36" i="25"/>
  <c r="J37" i="25" s="1"/>
  <c r="F36" i="25"/>
  <c r="F37" i="25" s="1"/>
  <c r="F38" i="25" s="1"/>
  <c r="M36" i="25"/>
  <c r="M37" i="25" s="1"/>
  <c r="I36" i="25"/>
  <c r="I37" i="25" s="1"/>
  <c r="J96" i="8"/>
  <c r="J98" i="8" s="1"/>
  <c r="K104" i="7"/>
  <c r="J143" i="7"/>
  <c r="J106" i="7"/>
  <c r="K74" i="7" l="1"/>
  <c r="K84" i="7" s="1"/>
  <c r="O194" i="8"/>
  <c r="K71" i="8"/>
  <c r="K76" i="8" s="1"/>
  <c r="L65" i="8"/>
  <c r="L70" i="8" s="1"/>
  <c r="M67" i="7"/>
  <c r="L72" i="7"/>
  <c r="M136" i="8"/>
  <c r="Q103" i="7"/>
  <c r="N149" i="8"/>
  <c r="O149" i="8" s="1"/>
  <c r="Q149" i="8" s="1"/>
  <c r="C200" i="7"/>
  <c r="O155" i="7"/>
  <c r="Q155" i="7" s="1"/>
  <c r="K138" i="8"/>
  <c r="K189" i="7"/>
  <c r="K177" i="8" s="1"/>
  <c r="L107" i="8"/>
  <c r="M115" i="7"/>
  <c r="N95" i="8"/>
  <c r="O95" i="8" s="1"/>
  <c r="N142" i="7"/>
  <c r="L97" i="8"/>
  <c r="M105" i="7"/>
  <c r="L144" i="7"/>
  <c r="I176" i="8"/>
  <c r="I190" i="7"/>
  <c r="H36" i="8"/>
  <c r="I36" i="8" s="1"/>
  <c r="J36" i="8" s="1"/>
  <c r="K36" i="8" s="1"/>
  <c r="L36" i="8" s="1"/>
  <c r="M36" i="8" s="1"/>
  <c r="N36" i="8" s="1"/>
  <c r="L57" i="8"/>
  <c r="L58" i="8" s="1"/>
  <c r="L71" i="8" s="1"/>
  <c r="L76" i="8" s="1"/>
  <c r="M59" i="7"/>
  <c r="L60" i="7"/>
  <c r="J137" i="8"/>
  <c r="J139" i="8" s="1"/>
  <c r="J188" i="7"/>
  <c r="J145" i="7"/>
  <c r="F28" i="6"/>
  <c r="F30" i="6"/>
  <c r="K96" i="8"/>
  <c r="K98" i="8" s="1"/>
  <c r="K143" i="7"/>
  <c r="L104" i="7"/>
  <c r="K106" i="7"/>
  <c r="H38" i="25"/>
  <c r="I38" i="25" s="1"/>
  <c r="J38" i="25" s="1"/>
  <c r="K38" i="25" s="1"/>
  <c r="L38" i="25" s="1"/>
  <c r="M38" i="25" s="1"/>
  <c r="I139" i="8"/>
  <c r="F33" i="7"/>
  <c r="G33" i="7" s="1"/>
  <c r="H33" i="7" s="1"/>
  <c r="I33" i="7" s="1"/>
  <c r="J33" i="7" s="1"/>
  <c r="K33" i="7" s="1"/>
  <c r="L33" i="7" s="1"/>
  <c r="M33" i="7" s="1"/>
  <c r="N33" i="7" s="1"/>
  <c r="L96" i="8" l="1"/>
  <c r="L98" i="8" s="1"/>
  <c r="L143" i="7"/>
  <c r="M104" i="7"/>
  <c r="L106" i="7"/>
  <c r="J176" i="8"/>
  <c r="J178" i="8" s="1"/>
  <c r="J190" i="7"/>
  <c r="C188" i="8"/>
  <c r="D200" i="7"/>
  <c r="L138" i="8"/>
  <c r="L189" i="7"/>
  <c r="L177" i="8" s="1"/>
  <c r="M57" i="8"/>
  <c r="M58" i="8" s="1"/>
  <c r="M60" i="7"/>
  <c r="M74" i="7" s="1"/>
  <c r="M84" i="7" s="1"/>
  <c r="N59" i="7"/>
  <c r="I178" i="8"/>
  <c r="K137" i="8"/>
  <c r="K139" i="8" s="1"/>
  <c r="K188" i="7"/>
  <c r="K145" i="7"/>
  <c r="F31" i="6"/>
  <c r="F32" i="6"/>
  <c r="M65" i="8"/>
  <c r="M70" i="8" s="1"/>
  <c r="N67" i="7"/>
  <c r="M72" i="7"/>
  <c r="N136" i="8"/>
  <c r="O142" i="7"/>
  <c r="Q95" i="8"/>
  <c r="L74" i="7"/>
  <c r="L84" i="7" s="1"/>
  <c r="M97" i="8"/>
  <c r="M144" i="7"/>
  <c r="N105" i="7"/>
  <c r="M107" i="8"/>
  <c r="N115" i="7"/>
  <c r="N65" i="8" l="1"/>
  <c r="C114" i="7"/>
  <c r="N72" i="7"/>
  <c r="O67" i="7"/>
  <c r="O136" i="8"/>
  <c r="N97" i="8"/>
  <c r="O97" i="8" s="1"/>
  <c r="Q97" i="8" s="1"/>
  <c r="N144" i="7"/>
  <c r="O105" i="7"/>
  <c r="Q105" i="7" s="1"/>
  <c r="K176" i="8"/>
  <c r="K190" i="7"/>
  <c r="E200" i="7"/>
  <c r="D188" i="8"/>
  <c r="L137" i="8"/>
  <c r="L139" i="8" s="1"/>
  <c r="L188" i="7"/>
  <c r="L145" i="7"/>
  <c r="M71" i="8"/>
  <c r="M76" i="8" s="1"/>
  <c r="M96" i="8"/>
  <c r="M98" i="8" s="1"/>
  <c r="N104" i="7"/>
  <c r="M143" i="7"/>
  <c r="M106" i="7"/>
  <c r="N107" i="8"/>
  <c r="O107" i="8" s="1"/>
  <c r="Q107" i="8" s="1"/>
  <c r="C154" i="7"/>
  <c r="O115" i="7"/>
  <c r="Q115" i="7" s="1"/>
  <c r="M138" i="8"/>
  <c r="M189" i="7"/>
  <c r="M177" i="8" s="1"/>
  <c r="Q142" i="7"/>
  <c r="F33" i="6"/>
  <c r="N57" i="8"/>
  <c r="N60" i="7"/>
  <c r="O59" i="7"/>
  <c r="Q59" i="7" l="1"/>
  <c r="Q60" i="7" s="1"/>
  <c r="O60" i="7"/>
  <c r="G74" i="8"/>
  <c r="G76" i="8" s="1"/>
  <c r="G77" i="8" s="1"/>
  <c r="H77" i="8" s="1"/>
  <c r="I77" i="8" s="1"/>
  <c r="J77" i="8" s="1"/>
  <c r="K77" i="8" s="1"/>
  <c r="L77" i="8" s="1"/>
  <c r="M77" i="8" s="1"/>
  <c r="N143" i="7"/>
  <c r="N96" i="8"/>
  <c r="O104" i="7"/>
  <c r="N106" i="7"/>
  <c r="Q136" i="8"/>
  <c r="N74" i="7"/>
  <c r="N84" i="7" s="1"/>
  <c r="F34" i="6"/>
  <c r="L176" i="8"/>
  <c r="L178" i="8" s="1"/>
  <c r="L190" i="7"/>
  <c r="E188" i="8"/>
  <c r="F200" i="7"/>
  <c r="N138" i="8"/>
  <c r="O138" i="8" s="1"/>
  <c r="Q138" i="8" s="1"/>
  <c r="N189" i="7"/>
  <c r="O144" i="7"/>
  <c r="Q144" i="7" s="1"/>
  <c r="C106" i="8"/>
  <c r="D114" i="7"/>
  <c r="C120" i="7"/>
  <c r="C122" i="7" s="1"/>
  <c r="N58" i="8"/>
  <c r="O57" i="8"/>
  <c r="O65" i="8"/>
  <c r="N70" i="8"/>
  <c r="C148" i="8"/>
  <c r="D154" i="7"/>
  <c r="M137" i="8"/>
  <c r="M139" i="8" s="1"/>
  <c r="M188" i="7"/>
  <c r="M145" i="7"/>
  <c r="K178" i="8"/>
  <c r="Q67" i="7"/>
  <c r="Q72" i="7" s="1"/>
  <c r="O72" i="7"/>
  <c r="G22" i="6" s="1"/>
  <c r="Q57" i="8" l="1"/>
  <c r="Q58" i="8" s="1"/>
  <c r="O58" i="8"/>
  <c r="Q104" i="7"/>
  <c r="Q106" i="7" s="1"/>
  <c r="O106" i="7"/>
  <c r="C112" i="8"/>
  <c r="C113" i="8" s="1"/>
  <c r="C118" i="8" s="1"/>
  <c r="C119" i="8" s="1"/>
  <c r="Q65" i="8"/>
  <c r="Q70" i="8" s="1"/>
  <c r="O70" i="8"/>
  <c r="N137" i="8"/>
  <c r="N188" i="7"/>
  <c r="O143" i="7"/>
  <c r="N145" i="7"/>
  <c r="E114" i="7"/>
  <c r="D106" i="8"/>
  <c r="D112" i="8" s="1"/>
  <c r="D113" i="8" s="1"/>
  <c r="D118" i="8" s="1"/>
  <c r="D119" i="8" s="1"/>
  <c r="D120" i="7"/>
  <c r="D122" i="7" s="1"/>
  <c r="N71" i="8"/>
  <c r="N76" i="8" s="1"/>
  <c r="N77" i="8" s="1"/>
  <c r="F188" i="8"/>
  <c r="G200" i="7"/>
  <c r="O96" i="8"/>
  <c r="N98" i="8"/>
  <c r="O74" i="7"/>
  <c r="O84" i="7" s="1"/>
  <c r="G21" i="6"/>
  <c r="E154" i="7"/>
  <c r="D148" i="8"/>
  <c r="M176" i="8"/>
  <c r="M178" i="8" s="1"/>
  <c r="M190" i="7"/>
  <c r="N177" i="8"/>
  <c r="O177" i="8" s="1"/>
  <c r="Q177" i="8" s="1"/>
  <c r="O189" i="7"/>
  <c r="Q189" i="7" s="1"/>
  <c r="O71" i="8" l="1"/>
  <c r="O76" i="8" s="1"/>
  <c r="G26" i="6"/>
  <c r="G27" i="6" s="1"/>
  <c r="G188" i="8"/>
  <c r="H200" i="7"/>
  <c r="N176" i="8"/>
  <c r="N190" i="7"/>
  <c r="O188" i="7"/>
  <c r="H21" i="6"/>
  <c r="E106" i="8"/>
  <c r="E112" i="8" s="1"/>
  <c r="E113" i="8" s="1"/>
  <c r="E118" i="8" s="1"/>
  <c r="E119" i="8" s="1"/>
  <c r="F114" i="7"/>
  <c r="E120" i="7"/>
  <c r="E122" i="7" s="1"/>
  <c r="O137" i="8"/>
  <c r="N139" i="8"/>
  <c r="E148" i="8"/>
  <c r="F154" i="7"/>
  <c r="F36" i="6"/>
  <c r="Q96" i="8"/>
  <c r="Q98" i="8" s="1"/>
  <c r="O98" i="8"/>
  <c r="Q143" i="7"/>
  <c r="Q145" i="7" s="1"/>
  <c r="O145" i="7"/>
  <c r="F106" i="8" l="1"/>
  <c r="G114" i="7"/>
  <c r="F120" i="7"/>
  <c r="F122" i="7" s="1"/>
  <c r="Q188" i="7"/>
  <c r="Q190" i="7" s="1"/>
  <c r="O190" i="7"/>
  <c r="I200" i="7"/>
  <c r="H188" i="8"/>
  <c r="I21" i="6"/>
  <c r="F148" i="8"/>
  <c r="G154" i="7"/>
  <c r="Q137" i="8"/>
  <c r="Q139" i="8" s="1"/>
  <c r="O139" i="8"/>
  <c r="N178" i="8"/>
  <c r="O176" i="8"/>
  <c r="G30" i="6"/>
  <c r="G28" i="6"/>
  <c r="Q176" i="8" l="1"/>
  <c r="Q178" i="8" s="1"/>
  <c r="O178" i="8"/>
  <c r="I188" i="8"/>
  <c r="J200" i="7"/>
  <c r="G31" i="6"/>
  <c r="G32" i="6"/>
  <c r="G33" i="6" s="1"/>
  <c r="G106" i="8"/>
  <c r="G112" i="8" s="1"/>
  <c r="G113" i="8" s="1"/>
  <c r="H114" i="7"/>
  <c r="G120" i="7"/>
  <c r="G122" i="7" s="1"/>
  <c r="G148" i="8"/>
  <c r="H154" i="7"/>
  <c r="J21" i="6"/>
  <c r="F112" i="8"/>
  <c r="F113" i="8" s="1"/>
  <c r="F118" i="8" s="1"/>
  <c r="F119" i="8" s="1"/>
  <c r="K21" i="6" l="1"/>
  <c r="H106" i="8"/>
  <c r="H112" i="8" s="1"/>
  <c r="H113" i="8" s="1"/>
  <c r="H118" i="8" s="1"/>
  <c r="I114" i="7"/>
  <c r="H120" i="7"/>
  <c r="H122" i="7" s="1"/>
  <c r="J188" i="8"/>
  <c r="K200" i="7"/>
  <c r="G116" i="8"/>
  <c r="O116" i="8" s="1"/>
  <c r="H148" i="8"/>
  <c r="I154" i="7"/>
  <c r="G34" i="6"/>
  <c r="G118" i="8" l="1"/>
  <c r="G119" i="8" s="1"/>
  <c r="I148" i="8"/>
  <c r="J154" i="7"/>
  <c r="H119" i="8"/>
  <c r="I106" i="8"/>
  <c r="J114" i="7"/>
  <c r="I120" i="7"/>
  <c r="I122" i="7" s="1"/>
  <c r="K188" i="8"/>
  <c r="L200" i="7"/>
  <c r="G35" i="6"/>
  <c r="G36" i="6" l="1"/>
  <c r="J106" i="8"/>
  <c r="J112" i="8" s="1"/>
  <c r="J113" i="8" s="1"/>
  <c r="J118" i="8" s="1"/>
  <c r="J119" i="8" s="1"/>
  <c r="K114" i="7"/>
  <c r="J120" i="7"/>
  <c r="J122" i="7" s="1"/>
  <c r="J148" i="8"/>
  <c r="K154" i="7"/>
  <c r="L188" i="8"/>
  <c r="M200" i="7"/>
  <c r="I112" i="8"/>
  <c r="I113" i="8" s="1"/>
  <c r="I118" i="8" s="1"/>
  <c r="I119" i="8" s="1"/>
  <c r="K106" i="8" l="1"/>
  <c r="K112" i="8" s="1"/>
  <c r="K113" i="8" s="1"/>
  <c r="K118" i="8" s="1"/>
  <c r="K119" i="8" s="1"/>
  <c r="L114" i="7"/>
  <c r="K120" i="7"/>
  <c r="K122" i="7" s="1"/>
  <c r="L154" i="7"/>
  <c r="K148" i="8"/>
  <c r="M188" i="8"/>
  <c r="N200" i="7"/>
  <c r="M154" i="7" l="1"/>
  <c r="L148" i="8"/>
  <c r="M114" i="7"/>
  <c r="L106" i="8"/>
  <c r="L112" i="8" s="1"/>
  <c r="L113" i="8" s="1"/>
  <c r="L118" i="8" s="1"/>
  <c r="L119" i="8" s="1"/>
  <c r="L120" i="7"/>
  <c r="L122" i="7" s="1"/>
  <c r="N188" i="8"/>
  <c r="O188" i="8" s="1"/>
  <c r="Q188" i="8" s="1"/>
  <c r="O200" i="7"/>
  <c r="Q200" i="7" s="1"/>
  <c r="M106" i="8" l="1"/>
  <c r="M112" i="8" s="1"/>
  <c r="M113" i="8" s="1"/>
  <c r="M118" i="8" s="1"/>
  <c r="M119" i="8" s="1"/>
  <c r="N114" i="7"/>
  <c r="M120" i="7"/>
  <c r="M122" i="7" s="1"/>
  <c r="M148" i="8"/>
  <c r="N154" i="7"/>
  <c r="N106" i="8" l="1"/>
  <c r="C153" i="7"/>
  <c r="N120" i="7"/>
  <c r="N122" i="7" s="1"/>
  <c r="O114" i="7"/>
  <c r="N148" i="8"/>
  <c r="O148" i="8" s="1"/>
  <c r="Q148" i="8" s="1"/>
  <c r="C199" i="7"/>
  <c r="O154" i="7"/>
  <c r="Q154" i="7" s="1"/>
  <c r="Q114" i="7" l="1"/>
  <c r="Q120" i="7" s="1"/>
  <c r="O120" i="7"/>
  <c r="C187" i="8"/>
  <c r="D199" i="7"/>
  <c r="C147" i="8"/>
  <c r="D153" i="7"/>
  <c r="C159" i="7"/>
  <c r="C161" i="7" s="1"/>
  <c r="N112" i="8"/>
  <c r="N113" i="8" s="1"/>
  <c r="N118" i="8" s="1"/>
  <c r="N119" i="8" s="1"/>
  <c r="O106" i="8"/>
  <c r="D147" i="8" l="1"/>
  <c r="D153" i="8" s="1"/>
  <c r="D154" i="8" s="1"/>
  <c r="D159" i="8" s="1"/>
  <c r="E153" i="7"/>
  <c r="D159" i="7"/>
  <c r="D161" i="7" s="1"/>
  <c r="D187" i="8"/>
  <c r="E199" i="7"/>
  <c r="Q106" i="8"/>
  <c r="Q112" i="8" s="1"/>
  <c r="O112" i="8"/>
  <c r="O113" i="8" s="1"/>
  <c r="O118" i="8" s="1"/>
  <c r="C153" i="8"/>
  <c r="C154" i="8" s="1"/>
  <c r="C159" i="8" s="1"/>
  <c r="C160" i="8" s="1"/>
  <c r="H22" i="6"/>
  <c r="O122" i="7"/>
  <c r="H26" i="6" l="1"/>
  <c r="H27" i="6" s="1"/>
  <c r="E147" i="8"/>
  <c r="F153" i="7"/>
  <c r="E159" i="7"/>
  <c r="E161" i="7" s="1"/>
  <c r="E187" i="8"/>
  <c r="F199" i="7"/>
  <c r="D160" i="8"/>
  <c r="H30" i="6" l="1"/>
  <c r="H28" i="6"/>
  <c r="F147" i="8"/>
  <c r="F153" i="8" s="1"/>
  <c r="F154" i="8" s="1"/>
  <c r="F159" i="8" s="1"/>
  <c r="G153" i="7"/>
  <c r="F159" i="7"/>
  <c r="F161" i="7" s="1"/>
  <c r="F187" i="8"/>
  <c r="G199" i="7"/>
  <c r="E153" i="8"/>
  <c r="E154" i="8" s="1"/>
  <c r="E159" i="8" s="1"/>
  <c r="E160" i="8" s="1"/>
  <c r="F160" i="8" l="1"/>
  <c r="H32" i="6"/>
  <c r="H33" i="6" s="1"/>
  <c r="H34" i="6" s="1"/>
  <c r="H31" i="6"/>
  <c r="G187" i="8"/>
  <c r="H199" i="7"/>
  <c r="G147" i="8"/>
  <c r="H153" i="7"/>
  <c r="G159" i="7"/>
  <c r="G161" i="7" s="1"/>
  <c r="H35" i="6" l="1"/>
  <c r="H147" i="8"/>
  <c r="H153" i="8" s="1"/>
  <c r="H154" i="8" s="1"/>
  <c r="H159" i="8" s="1"/>
  <c r="I153" i="7"/>
  <c r="H159" i="7"/>
  <c r="H161" i="7" s="1"/>
  <c r="G153" i="8"/>
  <c r="G154" i="8" s="1"/>
  <c r="H187" i="8"/>
  <c r="I199" i="7"/>
  <c r="G157" i="8"/>
  <c r="J153" i="7" l="1"/>
  <c r="I147" i="8"/>
  <c r="I159" i="7"/>
  <c r="I161" i="7" s="1"/>
  <c r="G159" i="8"/>
  <c r="G160" i="8" s="1"/>
  <c r="H160" i="8" s="1"/>
  <c r="I187" i="8"/>
  <c r="J199" i="7"/>
  <c r="H36" i="6"/>
  <c r="I153" i="8" l="1"/>
  <c r="I154" i="8" s="1"/>
  <c r="I159" i="8" s="1"/>
  <c r="I160" i="8" s="1"/>
  <c r="J187" i="8"/>
  <c r="K199" i="7"/>
  <c r="K153" i="7"/>
  <c r="J147" i="8"/>
  <c r="J153" i="8" s="1"/>
  <c r="J154" i="8" s="1"/>
  <c r="J159" i="8" s="1"/>
  <c r="J160" i="8" s="1"/>
  <c r="J159" i="7"/>
  <c r="J161" i="7" s="1"/>
  <c r="K187" i="8" l="1"/>
  <c r="L199" i="7"/>
  <c r="K147" i="8"/>
  <c r="K153" i="8" s="1"/>
  <c r="K154" i="8" s="1"/>
  <c r="K159" i="8" s="1"/>
  <c r="K160" i="8" s="1"/>
  <c r="L153" i="7"/>
  <c r="K159" i="7"/>
  <c r="K161" i="7" s="1"/>
  <c r="L147" i="8" l="1"/>
  <c r="L153" i="8" s="1"/>
  <c r="L154" i="8" s="1"/>
  <c r="L159" i="8" s="1"/>
  <c r="L160" i="8" s="1"/>
  <c r="M153" i="7"/>
  <c r="L159" i="7"/>
  <c r="L161" i="7" s="1"/>
  <c r="L187" i="8"/>
  <c r="M199" i="7"/>
  <c r="M147" i="8" l="1"/>
  <c r="M153" i="8" s="1"/>
  <c r="M154" i="8" s="1"/>
  <c r="M159" i="8" s="1"/>
  <c r="M160" i="8" s="1"/>
  <c r="N153" i="7"/>
  <c r="M159" i="7"/>
  <c r="M161" i="7" s="1"/>
  <c r="M187" i="8"/>
  <c r="N199" i="7"/>
  <c r="N147" i="8" l="1"/>
  <c r="C198" i="7"/>
  <c r="N159" i="7"/>
  <c r="N161" i="7" s="1"/>
  <c r="O153" i="7"/>
  <c r="N187" i="8"/>
  <c r="O187" i="8" s="1"/>
  <c r="Q187" i="8" s="1"/>
  <c r="O199" i="7"/>
  <c r="Q199" i="7" s="1"/>
  <c r="C186" i="8" l="1"/>
  <c r="D198" i="7"/>
  <c r="C203" i="7"/>
  <c r="C205" i="7" s="1"/>
  <c r="Q153" i="7"/>
  <c r="Q159" i="7" s="1"/>
  <c r="O159" i="7"/>
  <c r="N153" i="8"/>
  <c r="N154" i="8" s="1"/>
  <c r="N159" i="8" s="1"/>
  <c r="N160" i="8" s="1"/>
  <c r="O147" i="8"/>
  <c r="Q147" i="8" l="1"/>
  <c r="Q153" i="8" s="1"/>
  <c r="O153" i="8"/>
  <c r="O154" i="8" s="1"/>
  <c r="O159" i="8" s="1"/>
  <c r="I22" i="6"/>
  <c r="O161" i="7"/>
  <c r="E198" i="7"/>
  <c r="D186" i="8"/>
  <c r="D191" i="8" s="1"/>
  <c r="D192" i="8" s="1"/>
  <c r="D197" i="8" s="1"/>
  <c r="D203" i="7"/>
  <c r="D205" i="7" s="1"/>
  <c r="C191" i="8"/>
  <c r="C192" i="8" s="1"/>
  <c r="C197" i="8" s="1"/>
  <c r="C198" i="8" s="1"/>
  <c r="D198" i="8" l="1"/>
  <c r="I26" i="6"/>
  <c r="I27" i="6" s="1"/>
  <c r="E186" i="8"/>
  <c r="F198" i="7"/>
  <c r="E203" i="7"/>
  <c r="E205" i="7" s="1"/>
  <c r="E191" i="8" l="1"/>
  <c r="E192" i="8" s="1"/>
  <c r="E197" i="8" s="1"/>
  <c r="E198" i="8" s="1"/>
  <c r="I30" i="6"/>
  <c r="I28" i="6"/>
  <c r="F186" i="8"/>
  <c r="F191" i="8" s="1"/>
  <c r="F192" i="8" s="1"/>
  <c r="F197" i="8" s="1"/>
  <c r="F198" i="8" s="1"/>
  <c r="G198" i="7"/>
  <c r="F203" i="7"/>
  <c r="F205" i="7" s="1"/>
  <c r="I32" i="6" l="1"/>
  <c r="I33" i="6" s="1"/>
  <c r="I34" i="6"/>
  <c r="I31" i="6"/>
  <c r="G186" i="8"/>
  <c r="H198" i="7"/>
  <c r="G203" i="7"/>
  <c r="G205" i="7" s="1"/>
  <c r="I35" i="6" l="1"/>
  <c r="H186" i="8"/>
  <c r="H191" i="8" s="1"/>
  <c r="H192" i="8" s="1"/>
  <c r="H197" i="8" s="1"/>
  <c r="I198" i="7"/>
  <c r="H203" i="7"/>
  <c r="H205" i="7" s="1"/>
  <c r="G195" i="8"/>
  <c r="G191" i="8"/>
  <c r="G192" i="8" s="1"/>
  <c r="G197" i="8" l="1"/>
  <c r="G198" i="8" s="1"/>
  <c r="H198" i="8" s="1"/>
  <c r="I186" i="8"/>
  <c r="I191" i="8" s="1"/>
  <c r="I192" i="8" s="1"/>
  <c r="I197" i="8" s="1"/>
  <c r="J198" i="7"/>
  <c r="I203" i="7"/>
  <c r="I205" i="7" s="1"/>
  <c r="I36" i="6"/>
  <c r="I198" i="8" l="1"/>
  <c r="J186" i="8"/>
  <c r="J191" i="8" s="1"/>
  <c r="J192" i="8" s="1"/>
  <c r="J197" i="8" s="1"/>
  <c r="K198" i="7"/>
  <c r="J203" i="7"/>
  <c r="J205" i="7" s="1"/>
  <c r="K186" i="8" l="1"/>
  <c r="K191" i="8" s="1"/>
  <c r="K192" i="8" s="1"/>
  <c r="K197" i="8" s="1"/>
  <c r="L198" i="7"/>
  <c r="K203" i="7"/>
  <c r="K205" i="7" s="1"/>
  <c r="J198" i="8"/>
  <c r="K198" i="8" l="1"/>
  <c r="L186" i="8"/>
  <c r="L191" i="8" s="1"/>
  <c r="L192" i="8" s="1"/>
  <c r="L197" i="8" s="1"/>
  <c r="L198" i="8" s="1"/>
  <c r="M198" i="7"/>
  <c r="L203" i="7"/>
  <c r="L205" i="7" s="1"/>
  <c r="M186" i="8" l="1"/>
  <c r="M191" i="8" s="1"/>
  <c r="M192" i="8" s="1"/>
  <c r="M197" i="8" s="1"/>
  <c r="M198" i="8" s="1"/>
  <c r="N198" i="7"/>
  <c r="M203" i="7"/>
  <c r="M205" i="7" s="1"/>
  <c r="N186" i="8" l="1"/>
  <c r="N203" i="7"/>
  <c r="N205" i="7" s="1"/>
  <c r="O198" i="7"/>
  <c r="N191" i="8" l="1"/>
  <c r="N192" i="8" s="1"/>
  <c r="N197" i="8" s="1"/>
  <c r="N198" i="8" s="1"/>
  <c r="O186" i="8"/>
  <c r="Q198" i="7"/>
  <c r="Q203" i="7" s="1"/>
  <c r="O203" i="7"/>
  <c r="Q186" i="8" l="1"/>
  <c r="Q191" i="8" s="1"/>
  <c r="O191" i="8"/>
  <c r="O192" i="8" s="1"/>
  <c r="O197" i="8" s="1"/>
  <c r="J22" i="6"/>
  <c r="O205" i="7"/>
  <c r="J26" i="6" l="1"/>
  <c r="J27" i="6" s="1"/>
  <c r="K22" i="6"/>
  <c r="K26" i="6" s="1"/>
  <c r="K27" i="6" s="1"/>
  <c r="K28" i="6" l="1"/>
  <c r="K30" i="6"/>
  <c r="K31" i="6" s="1"/>
  <c r="J30" i="6"/>
  <c r="J28" i="6"/>
  <c r="J31" i="6" l="1"/>
  <c r="J32" i="6"/>
  <c r="J33" i="6" s="1"/>
  <c r="K33" i="6" s="1"/>
  <c r="J34" i="6" l="1"/>
  <c r="J35" i="6" l="1"/>
  <c r="K34" i="6"/>
  <c r="K35" i="6" l="1"/>
  <c r="J36" i="6"/>
</calcChain>
</file>

<file path=xl/sharedStrings.xml><?xml version="1.0" encoding="utf-8"?>
<sst xmlns="http://schemas.openxmlformats.org/spreadsheetml/2006/main" count="2722" uniqueCount="361">
  <si>
    <t>Direction Générale</t>
  </si>
  <si>
    <t>Désignation</t>
  </si>
  <si>
    <t>N</t>
  </si>
  <si>
    <t>N+1</t>
  </si>
  <si>
    <t>N+2</t>
  </si>
  <si>
    <t>N+3</t>
  </si>
  <si>
    <t>N+4</t>
  </si>
  <si>
    <t>Observation</t>
  </si>
  <si>
    <t>Commission/CA</t>
  </si>
  <si>
    <t>Salaire Net/Employé/Mois</t>
  </si>
  <si>
    <t>Salaire+CNSS+IRPP/Employé/Mois</t>
  </si>
  <si>
    <t>Directeur Général</t>
  </si>
  <si>
    <t>Assistante</t>
  </si>
  <si>
    <t>Directeur Exécutif</t>
  </si>
  <si>
    <t>Expert en LS</t>
  </si>
  <si>
    <t>Total</t>
  </si>
  <si>
    <t>Direction Exploitation</t>
  </si>
  <si>
    <t>Directeur Exploitation (Centre relais)</t>
  </si>
  <si>
    <t>Chef service Call Center</t>
  </si>
  <si>
    <t>Planner / Analyst</t>
  </si>
  <si>
    <t>Superviseur (Team Leader)</t>
  </si>
  <si>
    <t>Interprètes en LS (Groupe 1 / Temps plein)</t>
  </si>
  <si>
    <t>Interprètes en LS (Groupe 2 / Temps plein)</t>
  </si>
  <si>
    <t>Interprètes en LS (Groupe 3 / Temps plein)</t>
  </si>
  <si>
    <t>Chef de service MyHearo Box</t>
  </si>
  <si>
    <t>Agent d'accueil MyHearo Box</t>
  </si>
  <si>
    <t>Chef de service Réseau</t>
  </si>
  <si>
    <t>Responsable Hardware (Infrastructure)</t>
  </si>
  <si>
    <t>Responsable Software</t>
  </si>
  <si>
    <t>Direction Administrative et Financière</t>
  </si>
  <si>
    <t>Directeur Administratif et Financier</t>
  </si>
  <si>
    <t>Compatbel/ Financier</t>
  </si>
  <si>
    <t>Responsable Ressources Humaines</t>
  </si>
  <si>
    <t>Chauffeur / Coursier</t>
  </si>
  <si>
    <t>Direction Marketing et Commerciale</t>
  </si>
  <si>
    <t>Directeur Marketing et Commercial</t>
  </si>
  <si>
    <t>Responsable Commercial B2B</t>
  </si>
  <si>
    <t>Chef de service digital</t>
  </si>
  <si>
    <t>Community Manager</t>
  </si>
  <si>
    <t>Content Manager</t>
  </si>
  <si>
    <t>TOTAL</t>
  </si>
  <si>
    <t>Nombre</t>
  </si>
  <si>
    <t>Ordinateur</t>
  </si>
  <si>
    <t xml:space="preserve">Bureau </t>
  </si>
  <si>
    <t>Bureau Call center</t>
  </si>
  <si>
    <t>Imprimante</t>
  </si>
  <si>
    <t>Micro-casque</t>
  </si>
  <si>
    <t>Voiture</t>
  </si>
  <si>
    <t>Téléphone Fixe</t>
  </si>
  <si>
    <t>Téléphone portable</t>
  </si>
  <si>
    <t>Bureau</t>
  </si>
  <si>
    <t>Bureau Call Center</t>
  </si>
  <si>
    <t>TOTAL / AN</t>
  </si>
  <si>
    <t>Total TTC</t>
  </si>
  <si>
    <t>Prix unitaire moyen</t>
  </si>
  <si>
    <t xml:space="preserve">Montant Total </t>
  </si>
  <si>
    <t>Amortissement: Nombre d'années</t>
  </si>
  <si>
    <t>Coût</t>
  </si>
  <si>
    <t>TOTAL EMPLOYES</t>
  </si>
  <si>
    <t xml:space="preserve">Nombre </t>
  </si>
  <si>
    <t xml:space="preserve">Cout </t>
  </si>
  <si>
    <t xml:space="preserve">Total TTC </t>
  </si>
  <si>
    <t>Total Salaire Sans CNSS</t>
  </si>
  <si>
    <t xml:space="preserve">CNSS annuel </t>
  </si>
  <si>
    <t xml:space="preserve">CNSS Trimestriel </t>
  </si>
  <si>
    <t xml:space="preserve">Total </t>
  </si>
  <si>
    <t xml:space="preserve">Tableau d'investissment </t>
  </si>
  <si>
    <t xml:space="preserve">Désignation </t>
  </si>
  <si>
    <t>Amortissement</t>
  </si>
  <si>
    <t>Années N</t>
  </si>
  <si>
    <t>Années N+1</t>
  </si>
  <si>
    <t>Années +2</t>
  </si>
  <si>
    <t>Années N+3</t>
  </si>
  <si>
    <t>Années N+4</t>
  </si>
  <si>
    <t>Site web institutionnel de MyHearo</t>
  </si>
  <si>
    <t>Application Mobile</t>
  </si>
  <si>
    <t>Aménagement Call Center</t>
  </si>
  <si>
    <t xml:space="preserve">Ordinateurs </t>
  </si>
  <si>
    <t>Micro-Casques</t>
  </si>
  <si>
    <t>Mobilier Matériel de Bureau</t>
  </si>
  <si>
    <t>Eléments de rangement (5)</t>
  </si>
  <si>
    <t>Table de réunion</t>
  </si>
  <si>
    <t>MyHearo Box (2)</t>
  </si>
  <si>
    <t xml:space="preserve">Imprimante </t>
  </si>
  <si>
    <t xml:space="preserve">Voiture </t>
  </si>
  <si>
    <t>Standard téléphonique</t>
  </si>
  <si>
    <t>Téléphone fixe</t>
  </si>
  <si>
    <t>Serveur avec système Linux</t>
  </si>
  <si>
    <t>Armoire réseau</t>
  </si>
  <si>
    <t>Cablage réseau</t>
  </si>
  <si>
    <t>Rangement dédié au matériel de câblage</t>
  </si>
  <si>
    <t>Climatiseurs(7)</t>
  </si>
  <si>
    <t>Pc HP Prodesk</t>
  </si>
  <si>
    <t>Onduleur</t>
  </si>
  <si>
    <t>Firewall</t>
  </si>
  <si>
    <t>Swith manageable 24 ports</t>
  </si>
  <si>
    <t>Disque dur externe NAS</t>
  </si>
  <si>
    <t>Service d'installation et configuration du hardware</t>
  </si>
  <si>
    <t>Equipement anti-incendie</t>
  </si>
  <si>
    <t xml:space="preserve">Matériel de sécurité pour magasin </t>
  </si>
  <si>
    <t>Luminosité: Tubes fluorescents</t>
  </si>
  <si>
    <t xml:space="preserve">Fond de roulement </t>
  </si>
  <si>
    <t xml:space="preserve">Amortissement Taux </t>
  </si>
  <si>
    <t>Micro-casques</t>
  </si>
  <si>
    <t>Serveur avec système Linus</t>
  </si>
  <si>
    <t>Climatiseurs (4)</t>
  </si>
  <si>
    <t>Service de d'installation et configuration du hardware</t>
  </si>
  <si>
    <t xml:space="preserve">Taux TVA </t>
  </si>
  <si>
    <t>Total TVA Collectée</t>
  </si>
  <si>
    <t>Résultat</t>
  </si>
  <si>
    <t xml:space="preserve">Investissement </t>
  </si>
  <si>
    <t>Délai de paiement</t>
  </si>
  <si>
    <t>Année N</t>
  </si>
  <si>
    <t>Année N+1</t>
  </si>
  <si>
    <t>Année N+2</t>
  </si>
  <si>
    <t>Année N+3</t>
  </si>
  <si>
    <t>Année N+4</t>
  </si>
  <si>
    <t>Total Cummul</t>
  </si>
  <si>
    <t>Total Investissement</t>
  </si>
  <si>
    <t xml:space="preserve">Chiffres d'affaires (1) </t>
  </si>
  <si>
    <t>CA Speech to Text - IBM Watson</t>
  </si>
  <si>
    <t>CA Text to Speech - Readspeaker</t>
  </si>
  <si>
    <t>CA Visiophonie</t>
  </si>
  <si>
    <t>Total CA - Particuliers</t>
  </si>
  <si>
    <t>CA Readspeaker - B2B</t>
  </si>
  <si>
    <t>CA Visiophonie - B2B</t>
  </si>
  <si>
    <t>CA - Vente application à l'international</t>
  </si>
  <si>
    <t>Total CA - B2B</t>
  </si>
  <si>
    <t>TOTAL CA</t>
  </si>
  <si>
    <t>Frais d'exploitations</t>
  </si>
  <si>
    <t>Achat consommé</t>
  </si>
  <si>
    <t>Services extérieurs</t>
  </si>
  <si>
    <t xml:space="preserve">Impot et taxe </t>
  </si>
  <si>
    <t>Masse salariale sans CNSS</t>
  </si>
  <si>
    <t>CNSS</t>
  </si>
  <si>
    <t>Toatl charges d'exploitation</t>
  </si>
  <si>
    <t>EBTDA</t>
  </si>
  <si>
    <t>%</t>
  </si>
  <si>
    <t>EBIT</t>
  </si>
  <si>
    <t>Résultat Avant impôt</t>
  </si>
  <si>
    <t>Impôt 25%</t>
  </si>
  <si>
    <t>Résultat Après Impôt</t>
  </si>
  <si>
    <t xml:space="preserve">Cash Flow annuel </t>
  </si>
  <si>
    <t>CashFlow cummulé</t>
  </si>
  <si>
    <t>I- Charges d'exploitation mensualisée année N:</t>
  </si>
  <si>
    <t>Janvier</t>
  </si>
  <si>
    <t>Février</t>
  </si>
  <si>
    <t>Mars</t>
  </si>
  <si>
    <t>Avril</t>
  </si>
  <si>
    <t>Mai</t>
  </si>
  <si>
    <t>Juin</t>
  </si>
  <si>
    <t>Juillet</t>
  </si>
  <si>
    <t>Aout</t>
  </si>
  <si>
    <t>Septembre</t>
  </si>
  <si>
    <t>Octobre</t>
  </si>
  <si>
    <t>Novembre</t>
  </si>
  <si>
    <t>Decembre</t>
  </si>
  <si>
    <t>Total annuel</t>
  </si>
  <si>
    <t>Chiffre d'affaires</t>
  </si>
  <si>
    <t xml:space="preserve">CA IBM WATSON </t>
  </si>
  <si>
    <t xml:space="preserve">CA Readspeaker </t>
  </si>
  <si>
    <t xml:space="preserve">CA Visiophonie </t>
  </si>
  <si>
    <t>Total CA Particuliers</t>
  </si>
  <si>
    <t>Total CA - B2B Local</t>
  </si>
  <si>
    <t>TOTAL CHIFFRE D'AFFAIRES</t>
  </si>
  <si>
    <t>Charges:</t>
  </si>
  <si>
    <t xml:space="preserve">Fournitures de bureau </t>
  </si>
  <si>
    <t>Carburant</t>
  </si>
  <si>
    <t>Eau, gaz, electricté</t>
  </si>
  <si>
    <t>Total Achat consomme</t>
  </si>
  <si>
    <t>IBM Watson</t>
  </si>
  <si>
    <t>Licence Readspeaker - Particuliers</t>
  </si>
  <si>
    <t>Licence Readspeaker - B2B</t>
  </si>
  <si>
    <t>Frais location espace MyHearoBox</t>
  </si>
  <si>
    <t xml:space="preserve">Hébergement site web+ nom de domaine </t>
  </si>
  <si>
    <t>Frais entretien site web</t>
  </si>
  <si>
    <t>Charges locatives</t>
  </si>
  <si>
    <t xml:space="preserve">Frais entretien divers </t>
  </si>
  <si>
    <t>Telephone et internet</t>
  </si>
  <si>
    <t>Assurance</t>
  </si>
  <si>
    <t xml:space="preserve">Marketing et publicité </t>
  </si>
  <si>
    <t xml:space="preserve">Total Services extérieurs </t>
  </si>
  <si>
    <t>Total Masse salriales</t>
  </si>
  <si>
    <t>Total Charges  de fonctionnement</t>
  </si>
  <si>
    <t xml:space="preserve">EBTDA cummulé </t>
  </si>
  <si>
    <t xml:space="preserve">Investissment </t>
  </si>
  <si>
    <t>Cummul  EBTDA + Investissment</t>
  </si>
  <si>
    <t>Total Charges (3)= (2)+(1)</t>
  </si>
  <si>
    <t>II- Charges d'exploitation mensualisée année N+1:</t>
  </si>
  <si>
    <t>Charges</t>
  </si>
  <si>
    <t xml:space="preserve">Fournitures de </t>
  </si>
  <si>
    <t>Gaz, Eau, electricité</t>
  </si>
  <si>
    <t>Frais location espace MyHearoBox (majoration 5%</t>
  </si>
  <si>
    <t>Assurances</t>
  </si>
  <si>
    <t>Total Masse salariale</t>
  </si>
  <si>
    <t>Total Charges sociales (2)</t>
  </si>
  <si>
    <t>III- Charges d'exploitation mensualisée année N+2:</t>
  </si>
  <si>
    <t>Chiffres d'affaires</t>
  </si>
  <si>
    <t>CA - Vente Application - International</t>
  </si>
  <si>
    <t>Total CA - B2B international</t>
  </si>
  <si>
    <t>Fournitures de bureau</t>
  </si>
  <si>
    <t>Frais maintenance application (15%)</t>
  </si>
  <si>
    <t>Frais entretien site web (maintenance et sécurité)</t>
  </si>
  <si>
    <t>Charges locatives augmentation annuelle 5%</t>
  </si>
  <si>
    <t xml:space="preserve">Frais entretien et réparation </t>
  </si>
  <si>
    <t>Marketing et publicité</t>
  </si>
  <si>
    <t>Frais voyage à l'international B2B</t>
  </si>
  <si>
    <t>III- Charges d'exploitation mensualisée année N+3:</t>
  </si>
  <si>
    <t>Frais location expace MyHearoBox</t>
  </si>
  <si>
    <t>Frais de voyage B2B</t>
  </si>
  <si>
    <t>III- Charges d'exploitation mensualisée année N+4:</t>
  </si>
  <si>
    <t>Chiffre d'affaire</t>
  </si>
  <si>
    <t>Frais entretien site web ( maintenance et sécurité)</t>
  </si>
  <si>
    <t xml:space="preserve">Marketing et Publicité </t>
  </si>
  <si>
    <t>I- Charges Prévisionnelles Année N</t>
  </si>
  <si>
    <t>Investissement</t>
  </si>
  <si>
    <t>Total Masse salriales sans CNSS</t>
  </si>
  <si>
    <t>Impôt sur les sociétés</t>
  </si>
  <si>
    <t>TVA à payer</t>
  </si>
  <si>
    <t>Total Trésorerie</t>
  </si>
  <si>
    <t>Total Trésorerie cumulée</t>
  </si>
  <si>
    <t>BFR</t>
  </si>
  <si>
    <t>II- Charges Prévisionnelles Année N+1</t>
  </si>
  <si>
    <t>TVA Payée</t>
  </si>
  <si>
    <t>III- Charges Prévisionnelles Année N+2</t>
  </si>
  <si>
    <t>IV- Charges Prévisionnelles Année N+3</t>
  </si>
  <si>
    <t>V- Charges Prévisionnelles Année N+4</t>
  </si>
  <si>
    <t>TVA sur charges d'exploitation Année N</t>
  </si>
  <si>
    <t>TVA sur charges d'exploitation Année N+1</t>
  </si>
  <si>
    <t>TVA sur charges d'exploitation Année N+2</t>
  </si>
  <si>
    <t>TVA sur charges d'exploitation Année N+3</t>
  </si>
  <si>
    <t>TVA sur charges d'exploitation Année N+4</t>
  </si>
  <si>
    <t>HT</t>
  </si>
  <si>
    <t>TVA</t>
  </si>
  <si>
    <t>Taxe</t>
  </si>
  <si>
    <t>Fraix maintenance</t>
  </si>
  <si>
    <t>Frais voyage</t>
  </si>
  <si>
    <t>TVA sur Chiffre d'Affaire Année N</t>
  </si>
  <si>
    <t>TVA sur Chiffre d'Affaire Année N+1</t>
  </si>
  <si>
    <t>TVA sur Chiffre d'Affaire Année N+2</t>
  </si>
  <si>
    <t>TVA sur Chiffre d'Affaire Année N+3</t>
  </si>
  <si>
    <t>TVA sur Chiffre d'Affaire Année N+4</t>
  </si>
  <si>
    <t>Total CA</t>
  </si>
  <si>
    <t>Taux</t>
  </si>
  <si>
    <t>TOTAL TVA collectée</t>
  </si>
  <si>
    <t>TVA sur invetissement</t>
  </si>
  <si>
    <t>TVA sur charges fonctionnelles</t>
  </si>
  <si>
    <t>Total TVA déductibles</t>
  </si>
  <si>
    <t>TVA à payer / mois</t>
  </si>
  <si>
    <t>Chiffre d'Affaires - Visiophonie</t>
  </si>
  <si>
    <t>Volume - Appels visiophonie</t>
  </si>
  <si>
    <t>Nombre de appels / heure</t>
  </si>
  <si>
    <t>Nombre d'appels/ jour</t>
  </si>
  <si>
    <t>Nombre d'appels/ mois</t>
  </si>
  <si>
    <t>Appels de courte durée</t>
  </si>
  <si>
    <t>Appels de longue durée</t>
  </si>
  <si>
    <t>Août</t>
  </si>
  <si>
    <t>Décembre</t>
  </si>
  <si>
    <t>Réalisation</t>
  </si>
  <si>
    <t>Groupe 1</t>
  </si>
  <si>
    <t>Groupe 2</t>
  </si>
  <si>
    <t>Groupe 3</t>
  </si>
  <si>
    <t>TOTAL APPELS VISIOPHONIE</t>
  </si>
  <si>
    <t>Durée Moyenne</t>
  </si>
  <si>
    <t>Longue durée</t>
  </si>
  <si>
    <t>Courte durée</t>
  </si>
  <si>
    <t>Nombre de messages jour</t>
  </si>
  <si>
    <t>Nombre de messages/ mois</t>
  </si>
  <si>
    <t>Frais minute</t>
  </si>
  <si>
    <t>75% du total des appels</t>
  </si>
  <si>
    <t>25% du total des appels</t>
  </si>
  <si>
    <t>Total Appels</t>
  </si>
  <si>
    <t>TOTAL CHIFFRE D'AFFAIRE</t>
  </si>
  <si>
    <t>Chiffre d'Affaires - Message audio durée : 3 minutes</t>
  </si>
  <si>
    <t>IBM WATSON</t>
  </si>
  <si>
    <t>Prix d'achat HT / minute</t>
  </si>
  <si>
    <t xml:space="preserve">Marge sur cout </t>
  </si>
  <si>
    <t xml:space="preserve">Prix de vente HT </t>
  </si>
  <si>
    <t>Volume de messages</t>
  </si>
  <si>
    <t>Nombre de messages / heure</t>
  </si>
  <si>
    <t>Nombre de message/ jour</t>
  </si>
  <si>
    <t>Nombre de message/ mois</t>
  </si>
  <si>
    <t>Speech to Text: Message Audio calculé par minute</t>
  </si>
  <si>
    <t>Prix minute en US$</t>
  </si>
  <si>
    <t>Réalisation en volume de messages</t>
  </si>
  <si>
    <t>Speech to Text: une minute en langue personnalisée</t>
  </si>
  <si>
    <t>Taux de conversion</t>
  </si>
  <si>
    <t>Période 1</t>
  </si>
  <si>
    <t>Prix minute en TND</t>
  </si>
  <si>
    <t>Période 2</t>
  </si>
  <si>
    <t>Période 3</t>
  </si>
  <si>
    <t>Langue personnalisée</t>
  </si>
  <si>
    <t>Chiffre d'Affaires - Speech to Text</t>
  </si>
  <si>
    <t>TOTAL  EN DT</t>
  </si>
  <si>
    <t>TOTAL PAR AN</t>
  </si>
  <si>
    <t>Chiffre d'Affaires - Readspeaker</t>
  </si>
  <si>
    <t>Volume - Messages</t>
  </si>
  <si>
    <t>Frais minute Readspeaker</t>
  </si>
  <si>
    <t>Chiffre d'affaires - Appel Vidéo</t>
  </si>
  <si>
    <t>Nombre d'appels / heure</t>
  </si>
  <si>
    <t>Nombre de messages / Heure</t>
  </si>
  <si>
    <t>Vente du service aux sites web - Readspeaker - 400000 pages</t>
  </si>
  <si>
    <t>Vente par an</t>
  </si>
  <si>
    <t xml:space="preserve">Ventes </t>
  </si>
  <si>
    <t xml:space="preserve">TOTAL </t>
  </si>
  <si>
    <t>Frais licence en euro</t>
  </si>
  <si>
    <t>Durée</t>
  </si>
  <si>
    <t>Frais licence en DT</t>
  </si>
  <si>
    <t>Marge</t>
  </si>
  <si>
    <t>Prix de vente</t>
  </si>
  <si>
    <t>1 year</t>
  </si>
  <si>
    <t>2 years</t>
  </si>
  <si>
    <t>3 years</t>
  </si>
  <si>
    <t>5 years</t>
  </si>
  <si>
    <t>Prix d'achat - Vente du service aux sites web - Readspeaker - 400000 pages</t>
  </si>
  <si>
    <t xml:space="preserve">CA </t>
  </si>
  <si>
    <t>Durée en minute</t>
  </si>
  <si>
    <t>Frais en Dinars</t>
  </si>
  <si>
    <t>Prix minute</t>
  </si>
  <si>
    <t>Abonnement 1</t>
  </si>
  <si>
    <t>Abonnement 2</t>
  </si>
  <si>
    <t>Abonnement 3</t>
  </si>
  <si>
    <t>Nombre d'abonnement / mois</t>
  </si>
  <si>
    <t>Réalisation en volume</t>
  </si>
  <si>
    <t>Type d'abonnement</t>
  </si>
  <si>
    <t>Nombre d'abonnement</t>
  </si>
  <si>
    <t>Abonnement 1000 minutes</t>
  </si>
  <si>
    <t>Abonnement 2000 minutes</t>
  </si>
  <si>
    <t>Abonnement 5000 minutes</t>
  </si>
  <si>
    <t>Frais Readspeaker</t>
  </si>
  <si>
    <t>4 years</t>
  </si>
  <si>
    <t>Taux de conversion en DT:</t>
  </si>
  <si>
    <t xml:space="preserve">1 er trimestre </t>
  </si>
  <si>
    <t xml:space="preserve">2 ème trimestre </t>
  </si>
  <si>
    <t xml:space="preserve">3 ème trimestre </t>
  </si>
  <si>
    <t>4 ème trimestre</t>
  </si>
  <si>
    <t xml:space="preserve">4 ème trimestre </t>
  </si>
  <si>
    <t>Référencement naturel du site web (350dt/mois)</t>
  </si>
  <si>
    <t>Référencement payant du site web Lancement de campagne Google Adwords</t>
  </si>
  <si>
    <t>Campagne de mise en avant Facebook</t>
  </si>
  <si>
    <t>Campagne de sponsorisation pour générer du trafic sur le site web</t>
  </si>
  <si>
    <t>Agencement des Box</t>
  </si>
  <si>
    <t>Conférence de lancement</t>
  </si>
  <si>
    <t>Affichage urbain</t>
  </si>
  <si>
    <t>Publicité Télévision</t>
  </si>
  <si>
    <t>Publicité Radio</t>
  </si>
  <si>
    <t>Habillage de voiture</t>
  </si>
  <si>
    <t>Sessions de démonstration de l’application dans les associations des personnes sourdes.</t>
  </si>
  <si>
    <t xml:space="preserve">Présentation B2B en local </t>
  </si>
  <si>
    <t>Frais de participation à un salon à l'international B2B</t>
  </si>
  <si>
    <t>1 er trim</t>
  </si>
  <si>
    <t>2 ème trim</t>
  </si>
  <si>
    <t>3 ème trim</t>
  </si>
  <si>
    <t>4 ème trim</t>
  </si>
  <si>
    <t xml:space="preserve">3 ème trim </t>
  </si>
  <si>
    <t xml:space="preserve">2 ème trim </t>
  </si>
  <si>
    <t>Encaissements</t>
  </si>
  <si>
    <t>Décaissements</t>
  </si>
  <si>
    <t xml:space="preserve">Site web institutionnel </t>
  </si>
  <si>
    <t xml:space="preserve"> Box (2)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</si>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</sst>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\ %"/>
    <numFmt numFmtId="165" formatCode="0.000"/>
    <numFmt numFmtId="166" formatCode="&quot;€ &quot;#,##0.00_-"/>
    <numFmt numFmtId="167" formatCode="0.0"/>
  </numFmts>
  <fonts count="1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i/>
      <sz val="10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5"/>
      <color rgb="FF000000"/>
      <name val="Arial"/>
      <family val="2"/>
      <charset val="1"/>
    </font>
    <font>
      <sz val="10"/>
      <color rgb="FF222222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sz val="10"/>
      <name val="Arial"/>
      <family val="2"/>
      <charset val="1"/>
    </font>
    <font>
      <u/>
      <sz val="16"/>
      <color rgb="FF000000"/>
      <name val="Arial"/>
      <family val="2"/>
      <charset val="1"/>
    </font>
    <font>
      <b/>
      <i/>
      <u/>
      <sz val="10"/>
      <color rgb="FF000000"/>
      <name val="Arial"/>
      <family val="2"/>
      <charset val="1"/>
    </font>
    <font>
      <b/>
      <sz val="10"/>
      <color rgb="FFFFFFFF"/>
      <name val="Arial"/>
      <family val="2"/>
      <charset val="1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21">
    <fill>
      <patternFill patternType="none"/>
    </fill>
    <fill>
      <patternFill patternType="gray125"/>
    </fill>
    <fill>
      <patternFill patternType="solid">
        <fgColor rgb="FFD9D9D9"/>
        <bgColor rgb="FFD0CECE"/>
      </patternFill>
    </fill>
    <fill>
      <patternFill patternType="solid">
        <fgColor rgb="FFFFFF00"/>
        <bgColor rgb="FFFFD966"/>
      </patternFill>
    </fill>
    <fill>
      <patternFill patternType="solid">
        <fgColor rgb="FFBFBFBF"/>
        <bgColor rgb="FFC9C9C9"/>
      </patternFill>
    </fill>
    <fill>
      <patternFill patternType="solid">
        <fgColor rgb="FFF4B183"/>
        <bgColor rgb="FFF8CBAD"/>
      </patternFill>
    </fill>
    <fill>
      <patternFill patternType="solid">
        <fgColor rgb="FFFF0000"/>
        <bgColor rgb="FFFF5050"/>
      </patternFill>
    </fill>
    <fill>
      <patternFill patternType="solid">
        <fgColor rgb="FFFFE699"/>
        <bgColor rgb="FFFFD966"/>
      </patternFill>
    </fill>
    <fill>
      <patternFill patternType="solid">
        <fgColor rgb="FF8497B0"/>
        <bgColor rgb="FF808080"/>
      </patternFill>
    </fill>
    <fill>
      <patternFill patternType="solid">
        <fgColor rgb="FFD0CECE"/>
        <bgColor rgb="FFC9C9C9"/>
      </patternFill>
    </fill>
    <fill>
      <patternFill patternType="solid">
        <fgColor rgb="FFF8CBAD"/>
        <bgColor rgb="FFFFE699"/>
      </patternFill>
    </fill>
    <fill>
      <patternFill patternType="solid">
        <fgColor rgb="FFC9C9C9"/>
        <bgColor rgb="FFD0CECE"/>
      </patternFill>
    </fill>
    <fill>
      <patternFill patternType="solid">
        <fgColor rgb="FF99FF66"/>
        <bgColor rgb="FF92D050"/>
      </patternFill>
    </fill>
    <fill>
      <patternFill patternType="solid">
        <fgColor rgb="FFBDD7EE"/>
        <bgColor rgb="FFD0CECE"/>
      </patternFill>
    </fill>
    <fill>
      <patternFill patternType="solid">
        <fgColor rgb="FFFFD966"/>
        <bgColor rgb="FFFFE699"/>
      </patternFill>
    </fill>
    <fill>
      <patternFill patternType="solid">
        <fgColor rgb="FFFF5050"/>
        <bgColor rgb="FFFF6699"/>
      </patternFill>
    </fill>
    <fill>
      <patternFill patternType="solid">
        <fgColor rgb="FFFF6699"/>
        <bgColor rgb="FFFF5050"/>
      </patternFill>
    </fill>
    <fill>
      <patternFill patternType="solid">
        <fgColor rgb="FF538ED5"/>
        <bgColor rgb="FF5B9BD5"/>
      </patternFill>
    </fill>
    <fill>
      <patternFill patternType="solid">
        <fgColor rgb="FF92D050"/>
        <bgColor rgb="FF99FF66"/>
      </patternFill>
    </fill>
    <fill>
      <patternFill patternType="solid">
        <fgColor rgb="FF5B9BD5"/>
        <bgColor rgb="FF538ED5"/>
      </patternFill>
    </fill>
    <fill>
      <patternFill patternType="solid">
        <fgColor rgb="FFC5E0B4"/>
        <bgColor rgb="FFD9D9D9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164" fontId="15" fillId="0" borderId="0" applyBorder="0" applyProtection="0"/>
  </cellStyleXfs>
  <cellXfs count="253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1" fontId="0" fillId="0" borderId="0" xfId="0" applyNumberFormat="1"/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1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4" borderId="0" xfId="0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1" fontId="0" fillId="0" borderId="0" xfId="0" applyNumberForma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5" borderId="1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6" fillId="3" borderId="1" xfId="0" applyFont="1" applyFill="1" applyBorder="1"/>
    <xf numFmtId="3" fontId="0" fillId="6" borderId="1" xfId="0" applyNumberForma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1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0" fontId="8" fillId="7" borderId="1" xfId="0" applyFont="1" applyFill="1" applyBorder="1" applyAlignment="1">
      <alignment horizontal="center" vertical="center" wrapText="1"/>
    </xf>
    <xf numFmtId="1" fontId="8" fillId="7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" fontId="0" fillId="8" borderId="1" xfId="0" applyNumberForma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wrapText="1"/>
    </xf>
    <xf numFmtId="0" fontId="0" fillId="0" borderId="0" xfId="0" applyAlignment="1">
      <alignment vertical="center"/>
    </xf>
    <xf numFmtId="0" fontId="4" fillId="9" borderId="0" xfId="0" applyFont="1" applyFill="1" applyAlignment="1">
      <alignment wrapText="1"/>
    </xf>
    <xf numFmtId="164" fontId="0" fillId="0" borderId="0" xfId="1" applyFont="1" applyBorder="1" applyAlignment="1" applyProtection="1">
      <alignment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9" borderId="1" xfId="0" applyFont="1" applyFill="1" applyBorder="1" applyAlignment="1">
      <alignment horizontal="center" vertical="center" wrapText="1"/>
    </xf>
    <xf numFmtId="164" fontId="0" fillId="0" borderId="3" xfId="1" applyFont="1" applyBorder="1" applyAlignment="1" applyProtection="1">
      <alignment wrapText="1"/>
    </xf>
    <xf numFmtId="0" fontId="10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1" fontId="4" fillId="0" borderId="4" xfId="0" applyNumberFormat="1" applyFont="1" applyBorder="1" applyAlignment="1">
      <alignment horizontal="center" vertical="center" wrapText="1"/>
    </xf>
    <xf numFmtId="1" fontId="3" fillId="9" borderId="4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vertical="center" wrapText="1"/>
    </xf>
    <xf numFmtId="1" fontId="3" fillId="10" borderId="1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4" fillId="9" borderId="4" xfId="0" applyFont="1" applyFill="1" applyBorder="1" applyAlignment="1">
      <alignment wrapText="1"/>
    </xf>
    <xf numFmtId="0" fontId="4" fillId="9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4" fillId="5" borderId="1" xfId="0" applyFont="1" applyFill="1" applyBorder="1" applyAlignment="1">
      <alignment vertical="center" wrapText="1"/>
    </xf>
    <xf numFmtId="0" fontId="0" fillId="11" borderId="0" xfId="0" applyFill="1" applyAlignment="1">
      <alignment horizontal="center" vertical="center" wrapText="1"/>
    </xf>
    <xf numFmtId="0" fontId="0" fillId="11" borderId="0" xfId="0" applyFill="1" applyAlignment="1">
      <alignment wrapText="1"/>
    </xf>
    <xf numFmtId="0" fontId="3" fillId="10" borderId="0" xfId="0" applyFont="1" applyFill="1" applyAlignment="1">
      <alignment horizontal="center" vertical="center" wrapText="1"/>
    </xf>
    <xf numFmtId="0" fontId="3" fillId="8" borderId="1" xfId="0" applyFont="1" applyFill="1" applyBorder="1" applyAlignment="1">
      <alignment vertical="center" wrapText="1"/>
    </xf>
    <xf numFmtId="1" fontId="3" fillId="8" borderId="1" xfId="0" applyNumberFormat="1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9" borderId="1" xfId="0" applyFont="1" applyFill="1" applyBorder="1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4" fontId="3" fillId="0" borderId="0" xfId="1" applyFont="1" applyBorder="1" applyAlignment="1" applyProtection="1">
      <alignment horizontal="center" vertical="center" wrapText="1"/>
    </xf>
    <xf numFmtId="1" fontId="3" fillId="9" borderId="1" xfId="0" applyNumberFormat="1" applyFont="1" applyFill="1" applyBorder="1" applyAlignment="1">
      <alignment horizontal="center" vertical="center" wrapText="1"/>
    </xf>
    <xf numFmtId="1" fontId="4" fillId="9" borderId="1" xfId="0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wrapText="1"/>
    </xf>
    <xf numFmtId="0" fontId="4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0" fillId="3" borderId="0" xfId="1" applyFont="1" applyFill="1" applyBorder="1" applyAlignment="1" applyProtection="1">
      <alignment wrapText="1"/>
    </xf>
    <xf numFmtId="164" fontId="3" fillId="0" borderId="0" xfId="1" applyFont="1" applyBorder="1" applyAlignment="1" applyProtection="1">
      <alignment wrapText="1"/>
    </xf>
    <xf numFmtId="164" fontId="4" fillId="0" borderId="0" xfId="1" applyFont="1" applyBorder="1" applyAlignment="1" applyProtection="1">
      <alignment wrapText="1"/>
    </xf>
    <xf numFmtId="1" fontId="3" fillId="9" borderId="1" xfId="0" applyNumberFormat="1" applyFont="1" applyFill="1" applyBorder="1" applyAlignment="1">
      <alignment wrapText="1"/>
    </xf>
    <xf numFmtId="1" fontId="1" fillId="0" borderId="1" xfId="0" applyNumberFormat="1" applyFont="1" applyBorder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1" fontId="1" fillId="12" borderId="0" xfId="0" applyNumberFormat="1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wrapText="1"/>
    </xf>
    <xf numFmtId="1" fontId="1" fillId="3" borderId="0" xfId="0" applyNumberFormat="1" applyFont="1" applyFill="1" applyAlignment="1">
      <alignment horizontal="center" wrapText="1"/>
    </xf>
    <xf numFmtId="1" fontId="4" fillId="9" borderId="0" xfId="0" applyNumberFormat="1" applyFont="1" applyFill="1" applyAlignment="1">
      <alignment wrapText="1"/>
    </xf>
    <xf numFmtId="164" fontId="0" fillId="0" borderId="0" xfId="1" applyFont="1" applyBorder="1" applyAlignment="1" applyProtection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164" fontId="0" fillId="0" borderId="0" xfId="0" applyNumberFormat="1"/>
    <xf numFmtId="1" fontId="1" fillId="0" borderId="0" xfId="0" applyNumberFormat="1" applyFont="1" applyAlignment="1">
      <alignment horizontal="center"/>
    </xf>
    <xf numFmtId="0" fontId="1" fillId="0" borderId="0" xfId="0" applyFont="1"/>
    <xf numFmtId="0" fontId="1" fillId="13" borderId="0" xfId="0" applyFont="1" applyFill="1"/>
    <xf numFmtId="1" fontId="1" fillId="13" borderId="0" xfId="0" applyNumberFormat="1" applyFont="1" applyFill="1" applyAlignment="1">
      <alignment horizontal="center" vertical="center"/>
    </xf>
    <xf numFmtId="0" fontId="1" fillId="12" borderId="0" xfId="0" applyFont="1" applyFill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1" xfId="1" applyFont="1" applyBorder="1" applyAlignment="1" applyProtection="1">
      <alignment horizontal="center" vertical="center"/>
    </xf>
    <xf numFmtId="0" fontId="0" fillId="0" borderId="1" xfId="1" applyNumberFormat="1" applyFont="1" applyBorder="1" applyAlignment="1" applyProtection="1">
      <alignment horizontal="center" vertical="center"/>
    </xf>
    <xf numFmtId="0" fontId="0" fillId="0" borderId="9" xfId="0" applyBorder="1" applyAlignment="1">
      <alignment wrapText="1"/>
    </xf>
    <xf numFmtId="0" fontId="0" fillId="0" borderId="1" xfId="0" applyBorder="1"/>
    <xf numFmtId="0" fontId="1" fillId="14" borderId="10" xfId="0" applyFont="1" applyFill="1" applyBorder="1" applyAlignment="1">
      <alignment horizontal="center" vertical="center"/>
    </xf>
    <xf numFmtId="1" fontId="0" fillId="14" borderId="1" xfId="0" applyNumberForma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/>
    </xf>
    <xf numFmtId="0" fontId="1" fillId="14" borderId="0" xfId="0" applyFont="1" applyFill="1" applyAlignment="1">
      <alignment horizontal="center" vertical="center"/>
    </xf>
    <xf numFmtId="0" fontId="0" fillId="0" borderId="10" xfId="0" applyBorder="1"/>
    <xf numFmtId="16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" fontId="0" fillId="0" borderId="11" xfId="0" applyNumberFormat="1" applyBorder="1" applyAlignment="1">
      <alignment horizontal="center" vertical="center"/>
    </xf>
    <xf numFmtId="1" fontId="0" fillId="14" borderId="5" xfId="0" applyNumberFormat="1" applyFill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0" fontId="0" fillId="6" borderId="0" xfId="0" applyFill="1"/>
    <xf numFmtId="0" fontId="1" fillId="6" borderId="1" xfId="0" applyFont="1" applyFill="1" applyBorder="1" applyAlignment="1">
      <alignment horizontal="center" vertical="center"/>
    </xf>
    <xf numFmtId="0" fontId="0" fillId="6" borderId="1" xfId="0" applyFill="1" applyBorder="1"/>
    <xf numFmtId="1" fontId="0" fillId="6" borderId="1" xfId="0" applyNumberFormat="1" applyFill="1" applyBorder="1" applyAlignment="1">
      <alignment vertical="center"/>
    </xf>
    <xf numFmtId="1" fontId="0" fillId="0" borderId="1" xfId="0" applyNumberFormat="1" applyBorder="1" applyAlignment="1">
      <alignment vertical="center"/>
    </xf>
    <xf numFmtId="1" fontId="0" fillId="6" borderId="11" xfId="0" applyNumberFormat="1" applyFill="1" applyBorder="1" applyAlignment="1">
      <alignment vertical="center"/>
    </xf>
    <xf numFmtId="1" fontId="0" fillId="0" borderId="9" xfId="0" applyNumberFormat="1" applyBorder="1" applyAlignment="1">
      <alignment vertical="center"/>
    </xf>
    <xf numFmtId="0" fontId="1" fillId="15" borderId="1" xfId="0" applyFont="1" applyFill="1" applyBorder="1" applyAlignment="1">
      <alignment horizontal="center" vertical="center" wrapText="1"/>
    </xf>
    <xf numFmtId="1" fontId="1" fillId="3" borderId="8" xfId="0" applyNumberFormat="1" applyFont="1" applyFill="1" applyBorder="1" applyAlignment="1">
      <alignment horizontal="center" vertical="center"/>
    </xf>
    <xf numFmtId="1" fontId="1" fillId="3" borderId="0" xfId="0" applyNumberFormat="1" applyFont="1" applyFill="1"/>
    <xf numFmtId="164" fontId="0" fillId="0" borderId="0" xfId="0" applyNumberFormat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1" fontId="0" fillId="0" borderId="1" xfId="0" applyNumberFormat="1" applyBorder="1"/>
    <xf numFmtId="1" fontId="1" fillId="15" borderId="11" xfId="0" applyNumberFormat="1" applyFont="1" applyFill="1" applyBorder="1"/>
    <xf numFmtId="1" fontId="1" fillId="0" borderId="13" xfId="0" applyNumberFormat="1" applyFont="1" applyBorder="1"/>
    <xf numFmtId="1" fontId="1" fillId="0" borderId="9" xfId="0" applyNumberFormat="1" applyFont="1" applyBorder="1"/>
    <xf numFmtId="1" fontId="1" fillId="15" borderId="1" xfId="0" applyNumberFormat="1" applyFont="1" applyFill="1" applyBorder="1" applyAlignment="1">
      <alignment vertical="center"/>
    </xf>
    <xf numFmtId="1" fontId="1" fillId="0" borderId="1" xfId="0" applyNumberFormat="1" applyFont="1" applyBorder="1" applyAlignment="1">
      <alignment vertical="center"/>
    </xf>
    <xf numFmtId="1" fontId="1" fillId="15" borderId="11" xfId="0" applyNumberFormat="1" applyFont="1" applyFill="1" applyBorder="1" applyAlignment="1">
      <alignment vertical="center"/>
    </xf>
    <xf numFmtId="1" fontId="1" fillId="0" borderId="13" xfId="0" applyNumberFormat="1" applyFont="1" applyBorder="1" applyAlignment="1">
      <alignment vertical="center"/>
    </xf>
    <xf numFmtId="1" fontId="1" fillId="0" borderId="9" xfId="0" applyNumberFormat="1" applyFont="1" applyBorder="1" applyAlignment="1">
      <alignment vertical="center"/>
    </xf>
    <xf numFmtId="1" fontId="1" fillId="15" borderId="1" xfId="0" applyNumberFormat="1" applyFont="1" applyFill="1" applyBorder="1"/>
    <xf numFmtId="1" fontId="1" fillId="0" borderId="1" xfId="0" applyNumberFormat="1" applyFont="1" applyBorder="1"/>
    <xf numFmtId="0" fontId="3" fillId="0" borderId="11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" fontId="1" fillId="16" borderId="1" xfId="0" applyNumberFormat="1" applyFont="1" applyFill="1" applyBorder="1"/>
    <xf numFmtId="1" fontId="1" fillId="16" borderId="1" xfId="0" applyNumberFormat="1" applyFont="1" applyFill="1" applyBorder="1" applyAlignment="1">
      <alignment vertical="center"/>
    </xf>
    <xf numFmtId="1" fontId="1" fillId="16" borderId="11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1" fontId="0" fillId="0" borderId="1" xfId="1" applyNumberFormat="1" applyFont="1" applyBorder="1" applyAlignment="1" applyProtection="1">
      <alignment horizontal="center" vertical="center"/>
    </xf>
    <xf numFmtId="166" fontId="0" fillId="0" borderId="0" xfId="0" applyNumberFormat="1" applyAlignment="1">
      <alignment horizontal="center" vertical="center"/>
    </xf>
    <xf numFmtId="1" fontId="1" fillId="16" borderId="0" xfId="0" applyNumberFormat="1" applyFont="1" applyFill="1"/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165" fontId="0" fillId="0" borderId="1" xfId="0" applyNumberFormat="1" applyBorder="1" applyAlignment="1">
      <alignment horizontal="center" vertical="center"/>
    </xf>
    <xf numFmtId="164" fontId="0" fillId="0" borderId="1" xfId="0" applyNumberFormat="1" applyBorder="1"/>
    <xf numFmtId="167" fontId="0" fillId="0" borderId="1" xfId="0" applyNumberFormat="1" applyBorder="1"/>
    <xf numFmtId="166" fontId="0" fillId="0" borderId="0" xfId="0" applyNumberFormat="1"/>
    <xf numFmtId="165" fontId="0" fillId="0" borderId="0" xfId="0" applyNumberFormat="1"/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0" fillId="0" borderId="18" xfId="0" applyBorder="1" applyAlignment="1">
      <alignment horizontal="justify" vertical="center" wrapText="1"/>
    </xf>
    <xf numFmtId="0" fontId="13" fillId="17" borderId="14" xfId="0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18" borderId="14" xfId="0" applyFont="1" applyFill="1" applyBorder="1" applyAlignment="1">
      <alignment horizontal="center" vertical="center" wrapText="1"/>
    </xf>
    <xf numFmtId="0" fontId="0" fillId="6" borderId="14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19" borderId="14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0" borderId="18" xfId="0" applyBorder="1" applyAlignment="1">
      <alignment vertical="center" wrapText="1"/>
    </xf>
    <xf numFmtId="0" fontId="13" fillId="6" borderId="14" xfId="0" applyFont="1" applyFill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6" borderId="18" xfId="0" applyFont="1" applyFill="1" applyBorder="1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0" fontId="13" fillId="17" borderId="21" xfId="0" applyFont="1" applyFill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wrapText="1"/>
    </xf>
    <xf numFmtId="0" fontId="13" fillId="0" borderId="20" xfId="0" applyFont="1" applyBorder="1" applyAlignment="1">
      <alignment horizontal="center" vertical="center" wrapText="1"/>
    </xf>
    <xf numFmtId="0" fontId="0" fillId="16" borderId="18" xfId="0" applyFill="1" applyBorder="1" applyAlignment="1">
      <alignment vertical="center" wrapText="1"/>
    </xf>
    <xf numFmtId="0" fontId="0" fillId="3" borderId="18" xfId="0" applyFill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0" fillId="11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13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0" fontId="1" fillId="15" borderId="1" xfId="0" applyFont="1" applyFill="1" applyBorder="1" applyAlignment="1">
      <alignment horizontal="right" vertical="center" wrapText="1"/>
    </xf>
    <xf numFmtId="1" fontId="0" fillId="14" borderId="1" xfId="0" applyNumberFormat="1" applyFill="1" applyBorder="1" applyAlignment="1">
      <alignment horizontal="center" vertical="center"/>
    </xf>
    <xf numFmtId="1" fontId="0" fillId="14" borderId="11" xfId="0" applyNumberForma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right" vertical="center"/>
    </xf>
    <xf numFmtId="0" fontId="1" fillId="14" borderId="12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0" fontId="1" fillId="14" borderId="10" xfId="0" applyFont="1" applyFill="1" applyBorder="1" applyAlignment="1">
      <alignment horizontal="center" vertical="center"/>
    </xf>
    <xf numFmtId="0" fontId="0" fillId="0" borderId="1" xfId="1" applyNumberFormat="1" applyFont="1" applyBorder="1" applyAlignment="1" applyProtection="1">
      <alignment horizontal="center" vertical="center"/>
    </xf>
    <xf numFmtId="164" fontId="0" fillId="0" borderId="1" xfId="1" applyFont="1" applyBorder="1" applyAlignment="1" applyProtection="1">
      <alignment horizontal="center" vertical="center"/>
    </xf>
    <xf numFmtId="0" fontId="1" fillId="0" borderId="3" xfId="0" applyFont="1" applyBorder="1" applyAlignment="1">
      <alignment horizontal="center"/>
    </xf>
    <xf numFmtId="0" fontId="1" fillId="12" borderId="0" xfId="0" applyFont="1" applyFill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14" borderId="9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2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4" fillId="20" borderId="13" xfId="0" applyFont="1" applyFill="1" applyBorder="1" applyAlignment="1">
      <alignment horizontal="left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5B9BD5"/>
      <rgbColor rgb="FF993366"/>
      <rgbColor rgb="FFFFD966"/>
      <rgbColor rgb="FFD9D9D9"/>
      <rgbColor rgb="FF660066"/>
      <rgbColor rgb="FFFF6699"/>
      <rgbColor rgb="FF0066CC"/>
      <rgbColor rgb="FFBDD7EE"/>
      <rgbColor rgb="FF000080"/>
      <rgbColor rgb="FFFF00FF"/>
      <rgbColor rgb="FF99FF66"/>
      <rgbColor rgb="FF00FFFF"/>
      <rgbColor rgb="FF800080"/>
      <rgbColor rgb="FF800000"/>
      <rgbColor rgb="FF008080"/>
      <rgbColor rgb="FF0000FF"/>
      <rgbColor rgb="FF00CCFF"/>
      <rgbColor rgb="FFD0CECE"/>
      <rgbColor rgb="FFC5E0B4"/>
      <rgbColor rgb="FFFFE699"/>
      <rgbColor rgb="FFC9C9C9"/>
      <rgbColor rgb="FFF4B183"/>
      <rgbColor rgb="FFCC99FF"/>
      <rgbColor rgb="FFF8CBAD"/>
      <rgbColor rgb="FF538ED5"/>
      <rgbColor rgb="FF33CCCC"/>
      <rgbColor rgb="FF92D050"/>
      <rgbColor rgb="FFFFC000"/>
      <rgbColor rgb="FFFF9900"/>
      <rgbColor rgb="FFFF5050"/>
      <rgbColor rgb="FF666699"/>
      <rgbColor rgb="FF8497B0"/>
      <rgbColor rgb="FF003366"/>
      <rgbColor rgb="FF339966"/>
      <rgbColor rgb="FF003300"/>
      <rgbColor rgb="FF333300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"/>
  <sheetViews>
    <sheetView topLeftCell="A28" zoomScaleNormal="100" workbookViewId="0">
      <selection activeCell="I41" sqref="I41"/>
    </sheetView>
  </sheetViews>
  <sheetFormatPr baseColWidth="10" defaultColWidth="8.83203125" defaultRowHeight="15" x14ac:dyDescent="0.2"/>
  <cols>
    <col min="1" max="1" width="40" customWidth="1"/>
    <col min="2" max="6" width="9.1640625" style="1" customWidth="1"/>
    <col min="7" max="7" width="13.5" style="1" customWidth="1"/>
    <col min="8" max="8" width="15.33203125" style="1" customWidth="1"/>
    <col min="9" max="9" width="20" customWidth="1"/>
    <col min="10" max="10" width="18.1640625" style="1" customWidth="1"/>
    <col min="11" max="1025" width="9.1640625" customWidth="1"/>
  </cols>
  <sheetData>
    <row r="1" spans="1:10" x14ac:dyDescent="0.2">
      <c r="A1" s="213" t="s">
        <v>0</v>
      </c>
      <c r="B1" s="213"/>
      <c r="C1" s="213"/>
      <c r="D1" s="213"/>
      <c r="E1" s="213"/>
      <c r="F1" s="213"/>
      <c r="G1" s="213"/>
      <c r="H1" s="213"/>
      <c r="I1" s="213"/>
      <c r="J1" s="213"/>
    </row>
    <row r="2" spans="1:10" s="4" customFormat="1" ht="32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 x14ac:dyDescent="0.2">
      <c r="A3" s="5" t="s">
        <v>11</v>
      </c>
      <c r="B3" s="6">
        <v>1</v>
      </c>
      <c r="C3" s="6">
        <v>0</v>
      </c>
      <c r="D3" s="6">
        <v>0</v>
      </c>
      <c r="E3" s="6">
        <v>0</v>
      </c>
      <c r="F3" s="6">
        <v>0</v>
      </c>
      <c r="G3" s="6"/>
      <c r="H3" s="6"/>
      <c r="I3" s="6">
        <v>4000</v>
      </c>
      <c r="J3" s="6">
        <f>I3*1.35</f>
        <v>5400</v>
      </c>
    </row>
    <row r="4" spans="1:10" x14ac:dyDescent="0.2">
      <c r="A4" s="5" t="s">
        <v>12</v>
      </c>
      <c r="B4" s="6">
        <v>1</v>
      </c>
      <c r="C4" s="6">
        <v>0</v>
      </c>
      <c r="D4" s="6">
        <v>0</v>
      </c>
      <c r="E4" s="6">
        <v>0</v>
      </c>
      <c r="F4" s="6">
        <v>0</v>
      </c>
      <c r="G4" s="6"/>
      <c r="H4" s="6"/>
      <c r="I4" s="6">
        <v>800</v>
      </c>
      <c r="J4" s="6">
        <f>I4*1.35</f>
        <v>1080</v>
      </c>
    </row>
    <row r="5" spans="1:10" x14ac:dyDescent="0.2">
      <c r="A5" s="5" t="s">
        <v>13</v>
      </c>
      <c r="B5" s="6">
        <v>0</v>
      </c>
      <c r="C5" s="6">
        <v>0</v>
      </c>
      <c r="D5" s="6">
        <v>1</v>
      </c>
      <c r="E5" s="6">
        <v>0</v>
      </c>
      <c r="F5" s="6">
        <v>0</v>
      </c>
      <c r="G5" s="6"/>
      <c r="H5" s="6"/>
      <c r="I5" s="6">
        <v>3000</v>
      </c>
      <c r="J5" s="6">
        <f>I5*1.35</f>
        <v>4050.0000000000005</v>
      </c>
    </row>
    <row r="6" spans="1:10" x14ac:dyDescent="0.2">
      <c r="A6" s="5" t="s">
        <v>14</v>
      </c>
      <c r="B6" s="6">
        <v>1</v>
      </c>
      <c r="C6" s="6">
        <v>0</v>
      </c>
      <c r="D6" s="6">
        <v>0</v>
      </c>
      <c r="E6" s="6">
        <v>0</v>
      </c>
      <c r="F6" s="6">
        <v>0</v>
      </c>
      <c r="G6" s="6"/>
      <c r="H6" s="6"/>
      <c r="I6" s="6">
        <v>1700</v>
      </c>
      <c r="J6" s="6">
        <f>I6*1.35</f>
        <v>2295</v>
      </c>
    </row>
    <row r="7" spans="1:10" x14ac:dyDescent="0.2">
      <c r="A7" s="2" t="s">
        <v>15</v>
      </c>
      <c r="B7" s="7">
        <f>SUM(B3:B6)</f>
        <v>3</v>
      </c>
      <c r="C7" s="7">
        <f>SUM(C3:C6)</f>
        <v>0</v>
      </c>
      <c r="D7" s="7">
        <f>SUM(D3:D6)</f>
        <v>1</v>
      </c>
      <c r="E7" s="7">
        <f>SUM(E3:E6)</f>
        <v>0</v>
      </c>
      <c r="F7" s="7">
        <f>SUM(F3:F6)</f>
        <v>0</v>
      </c>
      <c r="G7" s="7"/>
      <c r="H7" s="7"/>
      <c r="I7" s="7">
        <f>SUM(I3:I6)</f>
        <v>9500</v>
      </c>
      <c r="J7" s="7">
        <f>SUM(J3:J6)</f>
        <v>12825</v>
      </c>
    </row>
    <row r="8" spans="1:10" x14ac:dyDescent="0.2">
      <c r="A8" s="8"/>
    </row>
    <row r="9" spans="1:10" x14ac:dyDescent="0.2">
      <c r="A9" s="2" t="s">
        <v>16</v>
      </c>
      <c r="B9" s="9"/>
      <c r="C9" s="9"/>
      <c r="D9" s="9"/>
      <c r="E9" s="9"/>
      <c r="F9" s="9"/>
      <c r="G9" s="9"/>
      <c r="H9" s="9"/>
      <c r="I9" s="9"/>
      <c r="J9" s="9"/>
    </row>
    <row r="10" spans="1:10" s="4" customFormat="1" ht="32" x14ac:dyDescent="0.2">
      <c r="A10" s="3" t="s">
        <v>1</v>
      </c>
      <c r="B10" s="3" t="s">
        <v>2</v>
      </c>
      <c r="C10" s="3" t="s">
        <v>3</v>
      </c>
      <c r="D10" s="3" t="s">
        <v>4</v>
      </c>
      <c r="E10" s="3" t="s">
        <v>5</v>
      </c>
      <c r="F10" s="3" t="s">
        <v>6</v>
      </c>
      <c r="G10" s="3" t="s">
        <v>7</v>
      </c>
      <c r="H10" s="3" t="s">
        <v>8</v>
      </c>
      <c r="I10" s="3" t="s">
        <v>9</v>
      </c>
      <c r="J10" s="3" t="s">
        <v>10</v>
      </c>
    </row>
    <row r="11" spans="1:10" x14ac:dyDescent="0.2">
      <c r="A11" s="5" t="s">
        <v>17</v>
      </c>
      <c r="B11" s="6">
        <v>1</v>
      </c>
      <c r="C11" s="6">
        <v>0</v>
      </c>
      <c r="D11" s="6">
        <v>0</v>
      </c>
      <c r="E11" s="6">
        <v>0</v>
      </c>
      <c r="F11" s="6">
        <v>0</v>
      </c>
      <c r="G11" s="6"/>
      <c r="H11" s="6"/>
      <c r="I11" s="6">
        <v>1700</v>
      </c>
      <c r="J11" s="10">
        <f t="shared" ref="J11:J22" si="0">I11*1.35</f>
        <v>2295</v>
      </c>
    </row>
    <row r="12" spans="1:10" x14ac:dyDescent="0.2">
      <c r="A12" s="5" t="s">
        <v>18</v>
      </c>
      <c r="B12" s="6">
        <v>0</v>
      </c>
      <c r="C12" s="6">
        <v>0</v>
      </c>
      <c r="D12" s="6">
        <v>1</v>
      </c>
      <c r="E12" s="6">
        <v>0</v>
      </c>
      <c r="F12" s="6">
        <v>0</v>
      </c>
      <c r="G12" s="6"/>
      <c r="H12" s="6"/>
      <c r="I12" s="6">
        <v>1300</v>
      </c>
      <c r="J12" s="6">
        <f t="shared" si="0"/>
        <v>1755.0000000000002</v>
      </c>
    </row>
    <row r="13" spans="1:10" x14ac:dyDescent="0.2">
      <c r="A13" s="5" t="s">
        <v>19</v>
      </c>
      <c r="B13" s="6">
        <v>0</v>
      </c>
      <c r="C13" s="6">
        <v>0</v>
      </c>
      <c r="D13" s="6">
        <v>1</v>
      </c>
      <c r="E13" s="6">
        <v>0</v>
      </c>
      <c r="F13" s="6">
        <v>0</v>
      </c>
      <c r="G13" s="6"/>
      <c r="H13" s="6"/>
      <c r="I13" s="6">
        <v>1200</v>
      </c>
      <c r="J13" s="6">
        <f t="shared" si="0"/>
        <v>1620</v>
      </c>
    </row>
    <row r="14" spans="1:10" x14ac:dyDescent="0.2">
      <c r="A14" s="5" t="s">
        <v>20</v>
      </c>
      <c r="B14" s="6">
        <v>2</v>
      </c>
      <c r="C14" s="6">
        <v>0</v>
      </c>
      <c r="D14" s="6">
        <v>0</v>
      </c>
      <c r="E14" s="6">
        <v>0</v>
      </c>
      <c r="F14" s="6">
        <v>0</v>
      </c>
      <c r="G14" s="6"/>
      <c r="H14" s="6"/>
      <c r="I14" s="6">
        <v>1300</v>
      </c>
      <c r="J14" s="6">
        <f t="shared" si="0"/>
        <v>1755.0000000000002</v>
      </c>
    </row>
    <row r="15" spans="1:10" x14ac:dyDescent="0.2">
      <c r="A15" s="5" t="s">
        <v>21</v>
      </c>
      <c r="B15" s="6">
        <v>5</v>
      </c>
      <c r="C15" s="11">
        <f>B15*0.15</f>
        <v>0.75</v>
      </c>
      <c r="D15" s="11">
        <f>(B15+C15)*0.15</f>
        <v>0.86249999999999993</v>
      </c>
      <c r="E15" s="11">
        <f>(D15+C15+B15)*0.15</f>
        <v>0.99187499999999995</v>
      </c>
      <c r="F15" s="11">
        <f>(E15+D15+C15+B15)*0.15</f>
        <v>1.1406562499999999</v>
      </c>
      <c r="G15" s="6"/>
      <c r="H15" s="6"/>
      <c r="I15" s="6">
        <v>800</v>
      </c>
      <c r="J15" s="6">
        <f t="shared" si="0"/>
        <v>1080</v>
      </c>
    </row>
    <row r="16" spans="1:10" x14ac:dyDescent="0.2">
      <c r="A16" s="5" t="s">
        <v>22</v>
      </c>
      <c r="B16" s="6">
        <v>3</v>
      </c>
      <c r="C16" s="11">
        <f>B16*0.15</f>
        <v>0.44999999999999996</v>
      </c>
      <c r="D16" s="11">
        <f>(C16+B16)*0.15</f>
        <v>0.51749999999999996</v>
      </c>
      <c r="E16" s="11">
        <f>(D16+C16+B16)*0.15</f>
        <v>0.5951249999999999</v>
      </c>
      <c r="F16" s="11">
        <f>(E16+D16+C16+B16)*0.15</f>
        <v>0.68439374999999991</v>
      </c>
      <c r="G16" s="6"/>
      <c r="H16" s="6"/>
      <c r="I16" s="6">
        <v>800</v>
      </c>
      <c r="J16" s="6">
        <f t="shared" si="0"/>
        <v>1080</v>
      </c>
    </row>
    <row r="17" spans="1:10" x14ac:dyDescent="0.2">
      <c r="A17" s="5" t="s">
        <v>23</v>
      </c>
      <c r="B17" s="6">
        <v>1</v>
      </c>
      <c r="C17" s="11">
        <f>B17*0.15</f>
        <v>0.15</v>
      </c>
      <c r="D17" s="11">
        <f>(C17+B17)*0.15</f>
        <v>0.17249999999999999</v>
      </c>
      <c r="E17" s="11">
        <f>(D17+C17+B17)*0.15</f>
        <v>0.198375</v>
      </c>
      <c r="F17" s="11">
        <f>(E17+D17+C17+B17)*0.15</f>
        <v>0.22813124999999998</v>
      </c>
      <c r="G17" s="6"/>
      <c r="H17" s="6"/>
      <c r="I17" s="6">
        <v>800</v>
      </c>
      <c r="J17" s="6">
        <f t="shared" si="0"/>
        <v>1080</v>
      </c>
    </row>
    <row r="18" spans="1:10" x14ac:dyDescent="0.2">
      <c r="A18" s="5" t="s">
        <v>24</v>
      </c>
      <c r="B18" s="6">
        <v>0</v>
      </c>
      <c r="C18" s="6">
        <v>0</v>
      </c>
      <c r="D18" s="6">
        <v>1</v>
      </c>
      <c r="E18" s="6">
        <v>0</v>
      </c>
      <c r="F18" s="6">
        <v>0</v>
      </c>
      <c r="G18" s="6"/>
      <c r="H18" s="6"/>
      <c r="I18" s="6">
        <v>950</v>
      </c>
      <c r="J18" s="11">
        <f t="shared" si="0"/>
        <v>1282.5</v>
      </c>
    </row>
    <row r="19" spans="1:10" x14ac:dyDescent="0.2">
      <c r="A19" s="5" t="s">
        <v>25</v>
      </c>
      <c r="B19" s="6">
        <v>2</v>
      </c>
      <c r="C19" s="6">
        <v>3</v>
      </c>
      <c r="D19" s="6">
        <v>2</v>
      </c>
      <c r="E19" s="6">
        <v>0</v>
      </c>
      <c r="F19" s="6">
        <v>0</v>
      </c>
      <c r="G19" s="6"/>
      <c r="H19" s="6"/>
      <c r="I19" s="6">
        <v>600</v>
      </c>
      <c r="J19" s="6">
        <f t="shared" si="0"/>
        <v>810</v>
      </c>
    </row>
    <row r="20" spans="1:10" x14ac:dyDescent="0.2">
      <c r="A20" s="5" t="s">
        <v>26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/>
      <c r="H20" s="6"/>
      <c r="I20" s="6">
        <v>1500</v>
      </c>
      <c r="J20" s="6">
        <f t="shared" si="0"/>
        <v>2025.0000000000002</v>
      </c>
    </row>
    <row r="21" spans="1:10" x14ac:dyDescent="0.2">
      <c r="A21" s="5" t="s">
        <v>27</v>
      </c>
      <c r="B21" s="6">
        <v>0</v>
      </c>
      <c r="C21" s="6">
        <v>0</v>
      </c>
      <c r="D21" s="6">
        <v>1</v>
      </c>
      <c r="E21" s="6">
        <v>0</v>
      </c>
      <c r="F21" s="6">
        <v>0</v>
      </c>
      <c r="G21" s="6"/>
      <c r="H21" s="6"/>
      <c r="I21" s="6">
        <v>1300</v>
      </c>
      <c r="J21" s="6">
        <f t="shared" si="0"/>
        <v>1755.0000000000002</v>
      </c>
    </row>
    <row r="22" spans="1:10" x14ac:dyDescent="0.2">
      <c r="A22" s="5" t="s">
        <v>28</v>
      </c>
      <c r="B22" s="6">
        <v>0</v>
      </c>
      <c r="C22" s="6">
        <v>0</v>
      </c>
      <c r="D22" s="6">
        <v>1</v>
      </c>
      <c r="E22" s="6">
        <v>0</v>
      </c>
      <c r="F22" s="6">
        <v>0</v>
      </c>
      <c r="G22" s="6"/>
      <c r="H22" s="6"/>
      <c r="I22" s="6">
        <v>1300</v>
      </c>
      <c r="J22" s="6">
        <f t="shared" si="0"/>
        <v>1755.0000000000002</v>
      </c>
    </row>
    <row r="23" spans="1:10" x14ac:dyDescent="0.2">
      <c r="A23" s="2" t="s">
        <v>15</v>
      </c>
      <c r="B23" s="7">
        <f>SUM(B11:B22)</f>
        <v>15</v>
      </c>
      <c r="C23" s="12">
        <f>SUM(C11:C22)</f>
        <v>4.3499999999999996</v>
      </c>
      <c r="D23" s="12">
        <f>SUM(D11:D22)</f>
        <v>8.5525000000000002</v>
      </c>
      <c r="E23" s="12">
        <f>SUM(E11:E22)</f>
        <v>1.7853749999999997</v>
      </c>
      <c r="F23" s="12">
        <f>SUM(F11:F22)</f>
        <v>2.0531812499999997</v>
      </c>
      <c r="G23" s="7"/>
      <c r="H23" s="7"/>
      <c r="I23" s="7">
        <f>SUM(I11:I22)</f>
        <v>13550</v>
      </c>
      <c r="J23" s="12">
        <f>SUM(J11:J22)</f>
        <v>18292.5</v>
      </c>
    </row>
    <row r="24" spans="1:10" x14ac:dyDescent="0.2">
      <c r="A24" s="8"/>
    </row>
    <row r="25" spans="1:10" x14ac:dyDescent="0.2">
      <c r="A25" s="214" t="s">
        <v>29</v>
      </c>
      <c r="B25" s="214"/>
      <c r="C25" s="214"/>
      <c r="D25" s="214"/>
      <c r="E25" s="214"/>
      <c r="F25" s="214"/>
      <c r="G25" s="214"/>
      <c r="H25" s="214"/>
      <c r="I25" s="214"/>
      <c r="J25" s="214"/>
    </row>
    <row r="26" spans="1:10" s="4" customFormat="1" ht="32" x14ac:dyDescent="0.2">
      <c r="A26" s="3" t="s">
        <v>1</v>
      </c>
      <c r="B26" s="3" t="s">
        <v>2</v>
      </c>
      <c r="C26" s="3" t="s">
        <v>3</v>
      </c>
      <c r="D26" s="3" t="s">
        <v>4</v>
      </c>
      <c r="E26" s="3" t="s">
        <v>5</v>
      </c>
      <c r="F26" s="3" t="s">
        <v>6</v>
      </c>
      <c r="G26" s="3" t="s">
        <v>7</v>
      </c>
      <c r="H26" s="3" t="s">
        <v>8</v>
      </c>
      <c r="I26" s="3" t="s">
        <v>9</v>
      </c>
      <c r="J26" s="3" t="s">
        <v>10</v>
      </c>
    </row>
    <row r="27" spans="1:10" x14ac:dyDescent="0.2">
      <c r="A27" s="5" t="s">
        <v>30</v>
      </c>
      <c r="B27" s="6">
        <v>1</v>
      </c>
      <c r="C27" s="6">
        <v>0</v>
      </c>
      <c r="D27" s="6">
        <v>0</v>
      </c>
      <c r="E27" s="6">
        <v>0</v>
      </c>
      <c r="F27" s="6">
        <v>0</v>
      </c>
      <c r="G27" s="6"/>
      <c r="H27" s="6"/>
      <c r="I27" s="6">
        <v>1500</v>
      </c>
      <c r="J27" s="11">
        <f>I27*1.35</f>
        <v>2025.0000000000002</v>
      </c>
    </row>
    <row r="28" spans="1:10" x14ac:dyDescent="0.2">
      <c r="A28" s="5" t="s">
        <v>31</v>
      </c>
      <c r="B28" s="6">
        <v>0</v>
      </c>
      <c r="C28" s="6">
        <v>0</v>
      </c>
      <c r="D28" s="6">
        <v>1</v>
      </c>
      <c r="E28" s="6">
        <v>0</v>
      </c>
      <c r="F28" s="6">
        <v>0</v>
      </c>
      <c r="G28" s="6"/>
      <c r="H28" s="6"/>
      <c r="I28" s="6">
        <v>750</v>
      </c>
      <c r="J28" s="11">
        <f>I28*1.35</f>
        <v>1012.5000000000001</v>
      </c>
    </row>
    <row r="29" spans="1:10" x14ac:dyDescent="0.2">
      <c r="A29" s="5" t="s">
        <v>32</v>
      </c>
      <c r="B29" s="6">
        <v>0</v>
      </c>
      <c r="C29" s="6">
        <v>1</v>
      </c>
      <c r="D29" s="6">
        <v>0</v>
      </c>
      <c r="E29" s="6">
        <v>0</v>
      </c>
      <c r="F29" s="6">
        <v>0</v>
      </c>
      <c r="G29" s="6"/>
      <c r="H29" s="6"/>
      <c r="I29" s="6">
        <v>750</v>
      </c>
      <c r="J29" s="11">
        <f>I29*1.35</f>
        <v>1012.5000000000001</v>
      </c>
    </row>
    <row r="30" spans="1:10" x14ac:dyDescent="0.2">
      <c r="A30" s="5" t="s">
        <v>33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/>
      <c r="H30" s="6"/>
      <c r="I30" s="6">
        <v>450</v>
      </c>
      <c r="J30" s="11">
        <f>I30*1.35</f>
        <v>607.5</v>
      </c>
    </row>
    <row r="31" spans="1:10" x14ac:dyDescent="0.2">
      <c r="A31" s="2" t="s">
        <v>15</v>
      </c>
      <c r="B31" s="7">
        <f>SUM(B27:B30)</f>
        <v>2</v>
      </c>
      <c r="C31" s="7">
        <f>SUM(C27:C30)</f>
        <v>1</v>
      </c>
      <c r="D31" s="7">
        <f>SUM(D27:D30)</f>
        <v>1</v>
      </c>
      <c r="E31" s="7">
        <f>SUM(E27:E30)</f>
        <v>0</v>
      </c>
      <c r="F31" s="7">
        <f>SUM(F27:F30)</f>
        <v>0</v>
      </c>
      <c r="G31" s="7"/>
      <c r="H31" s="7"/>
      <c r="I31" s="7">
        <f>SUM(I27:I30)</f>
        <v>3450</v>
      </c>
      <c r="J31" s="12">
        <f>SUM(J27:J30)</f>
        <v>4657.5</v>
      </c>
    </row>
    <row r="32" spans="1:10" x14ac:dyDescent="0.2">
      <c r="A32" s="8"/>
    </row>
    <row r="33" spans="1:10" x14ac:dyDescent="0.2">
      <c r="A33" s="214" t="s">
        <v>34</v>
      </c>
      <c r="B33" s="214"/>
      <c r="C33" s="214"/>
      <c r="D33" s="214"/>
      <c r="E33" s="214"/>
      <c r="F33" s="214"/>
      <c r="G33" s="214"/>
      <c r="H33" s="214"/>
      <c r="I33" s="214"/>
      <c r="J33" s="214"/>
    </row>
    <row r="34" spans="1:10" s="4" customFormat="1" ht="32" x14ac:dyDescent="0.2">
      <c r="A34" s="3" t="s">
        <v>1</v>
      </c>
      <c r="B34" s="3" t="s">
        <v>2</v>
      </c>
      <c r="C34" s="3" t="s">
        <v>3</v>
      </c>
      <c r="D34" s="3" t="s">
        <v>4</v>
      </c>
      <c r="E34" s="3" t="s">
        <v>5</v>
      </c>
      <c r="F34" s="3" t="s">
        <v>6</v>
      </c>
      <c r="G34" s="3" t="s">
        <v>7</v>
      </c>
      <c r="H34" s="3" t="s">
        <v>8</v>
      </c>
      <c r="I34" s="3" t="s">
        <v>9</v>
      </c>
      <c r="J34" s="3" t="s">
        <v>10</v>
      </c>
    </row>
    <row r="35" spans="1:10" s="16" customFormat="1" ht="16" x14ac:dyDescent="0.2">
      <c r="A35" s="13" t="s">
        <v>35</v>
      </c>
      <c r="B35" s="14">
        <v>1</v>
      </c>
      <c r="C35" s="14">
        <v>0</v>
      </c>
      <c r="D35" s="14">
        <v>0</v>
      </c>
      <c r="E35" s="14">
        <v>0</v>
      </c>
      <c r="F35" s="14">
        <v>0</v>
      </c>
      <c r="G35" s="14"/>
      <c r="H35" s="14"/>
      <c r="I35" s="6">
        <v>1500</v>
      </c>
      <c r="J35" s="15">
        <f>I35*1.35</f>
        <v>2025.0000000000002</v>
      </c>
    </row>
    <row r="36" spans="1:10" x14ac:dyDescent="0.2">
      <c r="A36" s="5" t="s">
        <v>36</v>
      </c>
      <c r="B36" s="6">
        <v>0</v>
      </c>
      <c r="C36" s="6">
        <v>1</v>
      </c>
      <c r="D36" s="6">
        <v>0</v>
      </c>
      <c r="E36" s="6">
        <v>0</v>
      </c>
      <c r="F36" s="6">
        <v>0</v>
      </c>
      <c r="G36" s="6"/>
      <c r="H36" s="17">
        <v>0.03</v>
      </c>
      <c r="I36" s="6">
        <v>1200</v>
      </c>
      <c r="J36" s="15">
        <f>I36*1.35</f>
        <v>1620</v>
      </c>
    </row>
    <row r="37" spans="1:10" x14ac:dyDescent="0.2">
      <c r="A37" s="18" t="s">
        <v>37</v>
      </c>
      <c r="B37" s="6">
        <v>0</v>
      </c>
      <c r="C37" s="6">
        <v>0</v>
      </c>
      <c r="D37" s="6">
        <v>1</v>
      </c>
      <c r="E37" s="6">
        <v>0</v>
      </c>
      <c r="F37" s="6">
        <v>0</v>
      </c>
      <c r="G37" s="6"/>
      <c r="H37" s="6"/>
      <c r="I37" s="6">
        <v>1000</v>
      </c>
      <c r="J37" s="15">
        <f>I37*1.35</f>
        <v>1350</v>
      </c>
    </row>
    <row r="38" spans="1:10" x14ac:dyDescent="0.2">
      <c r="A38" s="5" t="s">
        <v>38</v>
      </c>
      <c r="B38" s="6">
        <v>1</v>
      </c>
      <c r="C38" s="6">
        <v>0</v>
      </c>
      <c r="D38" s="6">
        <v>0</v>
      </c>
      <c r="E38" s="6">
        <v>0</v>
      </c>
      <c r="F38" s="6">
        <v>0</v>
      </c>
      <c r="G38" s="6"/>
      <c r="H38" s="6"/>
      <c r="I38" s="6">
        <v>750</v>
      </c>
      <c r="J38" s="15">
        <f>I38*1.35</f>
        <v>1012.5000000000001</v>
      </c>
    </row>
    <row r="39" spans="1:10" x14ac:dyDescent="0.2">
      <c r="A39" s="5" t="s">
        <v>39</v>
      </c>
      <c r="B39" s="6">
        <v>0</v>
      </c>
      <c r="C39" s="6">
        <v>1</v>
      </c>
      <c r="D39" s="6">
        <v>0</v>
      </c>
      <c r="E39" s="6">
        <v>0</v>
      </c>
      <c r="F39" s="6">
        <v>0</v>
      </c>
      <c r="G39" s="6"/>
      <c r="H39" s="6"/>
      <c r="I39" s="6">
        <v>700</v>
      </c>
      <c r="J39" s="15">
        <f>I39*1.35</f>
        <v>945.00000000000011</v>
      </c>
    </row>
    <row r="40" spans="1:10" x14ac:dyDescent="0.2">
      <c r="A40" s="2" t="s">
        <v>15</v>
      </c>
      <c r="B40" s="7">
        <f>SUM(B35:B39)</f>
        <v>2</v>
      </c>
      <c r="C40" s="7">
        <f>SUM(C35:C39)</f>
        <v>2</v>
      </c>
      <c r="D40" s="7">
        <f>SUM(D35:D39)</f>
        <v>1</v>
      </c>
      <c r="E40" s="7">
        <f>SUM(E35:E39)</f>
        <v>0</v>
      </c>
      <c r="F40" s="7">
        <f>SUM(F35:F39)</f>
        <v>0</v>
      </c>
      <c r="G40" s="7"/>
      <c r="H40" s="7"/>
      <c r="I40" s="7">
        <f>SUM(I35:I39)</f>
        <v>5150</v>
      </c>
      <c r="J40" s="12">
        <f>SUM(J36:J39)</f>
        <v>4927.5</v>
      </c>
    </row>
    <row r="43" spans="1:10" ht="30" customHeight="1" x14ac:dyDescent="0.2">
      <c r="A43" s="215" t="s">
        <v>40</v>
      </c>
      <c r="B43" s="3" t="s">
        <v>2</v>
      </c>
      <c r="C43" s="3" t="s">
        <v>3</v>
      </c>
      <c r="D43" s="3" t="s">
        <v>4</v>
      </c>
      <c r="E43" s="3" t="s">
        <v>5</v>
      </c>
      <c r="F43" s="3" t="s">
        <v>6</v>
      </c>
      <c r="G43" s="3" t="s">
        <v>7</v>
      </c>
      <c r="H43" s="3" t="s">
        <v>8</v>
      </c>
      <c r="I43" s="3" t="s">
        <v>9</v>
      </c>
      <c r="J43" s="3" t="s">
        <v>10</v>
      </c>
    </row>
    <row r="44" spans="1:10" x14ac:dyDescent="0.2">
      <c r="A44" s="215"/>
      <c r="B44" s="12">
        <f>B7+B23+B31+B40</f>
        <v>22</v>
      </c>
      <c r="C44" s="12">
        <f>C7+C23+C31+C40</f>
        <v>7.35</v>
      </c>
      <c r="D44" s="12">
        <f>D7+D23+D31+D40</f>
        <v>11.5525</v>
      </c>
      <c r="E44" s="12">
        <f>E7+E23+E31+E40</f>
        <v>1.7853749999999997</v>
      </c>
      <c r="F44" s="12">
        <f>F7+F23+F31+F40</f>
        <v>2.0531812499999997</v>
      </c>
      <c r="G44" s="12"/>
      <c r="H44" s="12"/>
      <c r="I44" s="12">
        <f>I7+I23+I31+I40</f>
        <v>31650</v>
      </c>
      <c r="J44" s="12">
        <f>J7+J23+J31+J40</f>
        <v>40702.5</v>
      </c>
    </row>
    <row r="47" spans="1:10" x14ac:dyDescent="0.2">
      <c r="I47">
        <f>29+12</f>
        <v>41</v>
      </c>
    </row>
    <row r="48" spans="1:10" x14ac:dyDescent="0.2">
      <c r="I48" s="19">
        <f>I47+E44</f>
        <v>42.785375000000002</v>
      </c>
    </row>
  </sheetData>
  <mergeCells count="4">
    <mergeCell ref="A1:J1"/>
    <mergeCell ref="A25:J25"/>
    <mergeCell ref="A33:J33"/>
    <mergeCell ref="A43:A4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A20"/>
  <sheetViews>
    <sheetView zoomScaleNormal="100" workbookViewId="0">
      <selection activeCell="F3" sqref="F3:F4"/>
    </sheetView>
  </sheetViews>
  <sheetFormatPr baseColWidth="10" defaultColWidth="8.83203125" defaultRowHeight="15" x14ac:dyDescent="0.2"/>
  <cols>
    <col min="1" max="5" width="9.1640625" customWidth="1"/>
    <col min="6" max="6" width="19.1640625" style="35" customWidth="1"/>
    <col min="7" max="7" width="10.83203125" style="35" customWidth="1"/>
    <col min="8" max="8" width="9.5" customWidth="1"/>
    <col min="9" max="9" width="14.1640625" customWidth="1"/>
    <col min="10" max="10" width="11.5"/>
    <col min="11" max="11" width="10.5" customWidth="1"/>
    <col min="12" max="12" width="7" customWidth="1"/>
    <col min="13" max="13" width="5.33203125" customWidth="1"/>
    <col min="14" max="14" width="5" customWidth="1"/>
    <col min="15" max="15" width="5.33203125" customWidth="1"/>
    <col min="16" max="16" width="5" customWidth="1"/>
    <col min="17" max="17" width="6.1640625" customWidth="1"/>
    <col min="18" max="18" width="6" customWidth="1"/>
    <col min="19" max="19" width="6.5" customWidth="1"/>
    <col min="20" max="20" width="6.6640625" customWidth="1"/>
    <col min="21" max="21" width="5.5" customWidth="1"/>
    <col min="22" max="22" width="6.33203125" customWidth="1"/>
    <col min="23" max="23" width="6.1640625" customWidth="1"/>
    <col min="24" max="24" width="6.5" customWidth="1"/>
    <col min="25" max="25" width="6.1640625" customWidth="1"/>
    <col min="26" max="26" width="6" customWidth="1"/>
    <col min="27" max="27" width="5" customWidth="1"/>
    <col min="28" max="28" width="6" customWidth="1"/>
    <col min="29" max="29" width="5" customWidth="1"/>
    <col min="30" max="30" width="6" customWidth="1"/>
    <col min="31" max="31" width="5" customWidth="1"/>
    <col min="32" max="32" width="6" customWidth="1"/>
    <col min="33" max="33" width="5.5" customWidth="1"/>
    <col min="34" max="34" width="5.83203125" customWidth="1"/>
    <col min="35" max="35" width="5" customWidth="1"/>
    <col min="36" max="36" width="7" customWidth="1"/>
    <col min="37" max="40" width="6" customWidth="1"/>
    <col min="41" max="41" width="5.6640625" customWidth="1"/>
    <col min="42" max="42" width="5.83203125" customWidth="1"/>
    <col min="43" max="43" width="6" customWidth="1"/>
    <col min="44" max="44" width="6.5" customWidth="1"/>
    <col min="45" max="46" width="6" customWidth="1"/>
    <col min="47" max="47" width="5.6640625" customWidth="1"/>
    <col min="48" max="48" width="7.1640625" customWidth="1"/>
    <col min="49" max="51" width="6" customWidth="1"/>
    <col min="52" max="52" width="5.83203125" customWidth="1"/>
    <col min="53" max="59" width="6" customWidth="1"/>
    <col min="60" max="60" width="7" customWidth="1"/>
    <col min="61" max="67" width="6" customWidth="1"/>
    <col min="68" max="68" width="5.83203125" customWidth="1"/>
    <col min="69" max="75" width="6" customWidth="1"/>
    <col min="76" max="76" width="5.83203125" customWidth="1"/>
    <col min="77" max="77" width="6" customWidth="1"/>
    <col min="78" max="78" width="5.83203125" customWidth="1"/>
    <col min="79" max="83" width="6" customWidth="1"/>
    <col min="84" max="84" width="7" customWidth="1"/>
    <col min="85" max="87" width="6" customWidth="1"/>
    <col min="88" max="88" width="5.83203125" customWidth="1"/>
    <col min="89" max="105" width="6" customWidth="1"/>
    <col min="106" max="106" width="5.83203125" customWidth="1"/>
    <col min="107" max="107" width="6" customWidth="1"/>
    <col min="108" max="108" width="7" customWidth="1"/>
    <col min="109" max="131" width="6" customWidth="1"/>
    <col min="132" max="1025" width="9.1640625" customWidth="1"/>
  </cols>
  <sheetData>
    <row r="1" spans="2:131" x14ac:dyDescent="0.2">
      <c r="F1" s="240" t="s">
        <v>249</v>
      </c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240"/>
      <c r="Z1" s="240"/>
      <c r="AA1" s="240"/>
      <c r="AB1" s="240"/>
      <c r="AC1" s="240"/>
      <c r="AD1" s="240"/>
      <c r="AE1" s="240"/>
      <c r="AF1" s="240"/>
      <c r="AG1" s="240"/>
      <c r="AH1" s="240"/>
      <c r="AI1" s="240"/>
      <c r="AJ1" s="240"/>
      <c r="AK1" s="240"/>
      <c r="AL1" s="240"/>
      <c r="AM1" s="240"/>
      <c r="AN1" s="240"/>
      <c r="AO1" s="240"/>
      <c r="AP1" s="240"/>
      <c r="AQ1" s="125"/>
    </row>
    <row r="3" spans="2:131" ht="45" customHeight="1" x14ac:dyDescent="0.2">
      <c r="F3" s="241" t="s">
        <v>250</v>
      </c>
      <c r="G3" s="232" t="s">
        <v>251</v>
      </c>
      <c r="H3" s="232" t="s">
        <v>252</v>
      </c>
      <c r="I3" s="232" t="s">
        <v>253</v>
      </c>
      <c r="J3" s="126" t="s">
        <v>254</v>
      </c>
      <c r="K3" s="126" t="s">
        <v>255</v>
      </c>
      <c r="L3" s="233" t="s">
        <v>112</v>
      </c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233"/>
      <c r="Y3" s="233"/>
      <c r="Z3" s="233"/>
      <c r="AA3" s="233"/>
      <c r="AB3" s="233"/>
      <c r="AC3" s="233"/>
      <c r="AD3" s="233"/>
      <c r="AE3" s="233"/>
      <c r="AF3" s="233"/>
      <c r="AG3" s="233"/>
      <c r="AH3" s="233"/>
      <c r="AI3" s="233"/>
      <c r="AJ3" s="233" t="s">
        <v>113</v>
      </c>
      <c r="AK3" s="233"/>
      <c r="AL3" s="233"/>
      <c r="AM3" s="233"/>
      <c r="AN3" s="233"/>
      <c r="AO3" s="233"/>
      <c r="AP3" s="233"/>
      <c r="AQ3" s="233"/>
      <c r="AR3" s="233"/>
      <c r="AS3" s="233"/>
      <c r="AT3" s="233"/>
      <c r="AU3" s="233"/>
      <c r="AV3" s="233"/>
      <c r="AW3" s="233"/>
      <c r="AX3" s="233"/>
      <c r="AY3" s="233"/>
      <c r="AZ3" s="233"/>
      <c r="BA3" s="233"/>
      <c r="BB3" s="233"/>
      <c r="BC3" s="233"/>
      <c r="BD3" s="233"/>
      <c r="BE3" s="233"/>
      <c r="BF3" s="233"/>
      <c r="BG3" s="233"/>
      <c r="BH3" s="233" t="s">
        <v>114</v>
      </c>
      <c r="BI3" s="233"/>
      <c r="BJ3" s="233"/>
      <c r="BK3" s="233"/>
      <c r="BL3" s="233"/>
      <c r="BM3" s="233"/>
      <c r="BN3" s="233"/>
      <c r="BO3" s="233"/>
      <c r="BP3" s="233"/>
      <c r="BQ3" s="233"/>
      <c r="BR3" s="233"/>
      <c r="BS3" s="233"/>
      <c r="BT3" s="233"/>
      <c r="BU3" s="233"/>
      <c r="BV3" s="233"/>
      <c r="BW3" s="233"/>
      <c r="BX3" s="233"/>
      <c r="BY3" s="233"/>
      <c r="BZ3" s="233"/>
      <c r="CA3" s="233"/>
      <c r="CB3" s="233"/>
      <c r="CC3" s="233"/>
      <c r="CD3" s="233"/>
      <c r="CE3" s="233"/>
      <c r="CF3" s="233" t="s">
        <v>115</v>
      </c>
      <c r="CG3" s="233"/>
      <c r="CH3" s="233"/>
      <c r="CI3" s="233"/>
      <c r="CJ3" s="233"/>
      <c r="CK3" s="233"/>
      <c r="CL3" s="233"/>
      <c r="CM3" s="233"/>
      <c r="CN3" s="233"/>
      <c r="CO3" s="233"/>
      <c r="CP3" s="233"/>
      <c r="CQ3" s="233"/>
      <c r="CR3" s="233"/>
      <c r="CS3" s="233"/>
      <c r="CT3" s="233"/>
      <c r="CU3" s="233"/>
      <c r="CV3" s="233"/>
      <c r="CW3" s="233"/>
      <c r="CX3" s="233"/>
      <c r="CY3" s="233"/>
      <c r="CZ3" s="233"/>
      <c r="DA3" s="233"/>
      <c r="DB3" s="233"/>
      <c r="DC3" s="233"/>
      <c r="DD3" s="239" t="s">
        <v>116</v>
      </c>
      <c r="DE3" s="239"/>
      <c r="DF3" s="239"/>
      <c r="DG3" s="239"/>
      <c r="DH3" s="239"/>
      <c r="DI3" s="239"/>
      <c r="DJ3" s="239"/>
      <c r="DK3" s="239"/>
      <c r="DL3" s="239"/>
      <c r="DM3" s="239"/>
      <c r="DN3" s="239"/>
      <c r="DO3" s="239"/>
      <c r="DP3" s="239"/>
      <c r="DQ3" s="239"/>
      <c r="DR3" s="239"/>
      <c r="DS3" s="239"/>
      <c r="DT3" s="239"/>
      <c r="DU3" s="239"/>
      <c r="DV3" s="239"/>
      <c r="DW3" s="239"/>
      <c r="DX3" s="239"/>
      <c r="DY3" s="239"/>
      <c r="DZ3" s="239"/>
      <c r="EA3" s="239"/>
    </row>
    <row r="4" spans="2:131" x14ac:dyDescent="0.2">
      <c r="F4" s="241"/>
      <c r="G4" s="232"/>
      <c r="H4" s="232"/>
      <c r="I4" s="232"/>
      <c r="J4" s="127">
        <v>0.75</v>
      </c>
      <c r="K4" s="127">
        <v>0.25</v>
      </c>
      <c r="L4" s="224" t="s">
        <v>145</v>
      </c>
      <c r="M4" s="224"/>
      <c r="N4" s="224" t="s">
        <v>146</v>
      </c>
      <c r="O4" s="224"/>
      <c r="P4" s="224" t="s">
        <v>147</v>
      </c>
      <c r="Q4" s="224"/>
      <c r="R4" s="224" t="s">
        <v>148</v>
      </c>
      <c r="S4" s="224"/>
      <c r="T4" s="224" t="s">
        <v>149</v>
      </c>
      <c r="U4" s="224"/>
      <c r="V4" s="224" t="s">
        <v>150</v>
      </c>
      <c r="W4" s="224"/>
      <c r="X4" s="224" t="s">
        <v>151</v>
      </c>
      <c r="Y4" s="224"/>
      <c r="Z4" s="224" t="s">
        <v>256</v>
      </c>
      <c r="AA4" s="224"/>
      <c r="AB4" s="224" t="s">
        <v>153</v>
      </c>
      <c r="AC4" s="224"/>
      <c r="AD4" s="224" t="s">
        <v>154</v>
      </c>
      <c r="AE4" s="224"/>
      <c r="AF4" s="224" t="s">
        <v>155</v>
      </c>
      <c r="AG4" s="224"/>
      <c r="AH4" s="224" t="s">
        <v>257</v>
      </c>
      <c r="AI4" s="224"/>
      <c r="AJ4" s="224" t="s">
        <v>145</v>
      </c>
      <c r="AK4" s="224"/>
      <c r="AL4" s="224" t="s">
        <v>146</v>
      </c>
      <c r="AM4" s="224"/>
      <c r="AN4" s="224" t="s">
        <v>147</v>
      </c>
      <c r="AO4" s="224"/>
      <c r="AP4" s="224" t="s">
        <v>148</v>
      </c>
      <c r="AQ4" s="224"/>
      <c r="AR4" s="224" t="s">
        <v>149</v>
      </c>
      <c r="AS4" s="224"/>
      <c r="AT4" s="224" t="s">
        <v>150</v>
      </c>
      <c r="AU4" s="224"/>
      <c r="AV4" s="224" t="s">
        <v>151</v>
      </c>
      <c r="AW4" s="224"/>
      <c r="AX4" s="224" t="s">
        <v>256</v>
      </c>
      <c r="AY4" s="224"/>
      <c r="AZ4" s="224" t="s">
        <v>153</v>
      </c>
      <c r="BA4" s="224"/>
      <c r="BB4" s="224" t="s">
        <v>154</v>
      </c>
      <c r="BC4" s="224"/>
      <c r="BD4" s="224" t="s">
        <v>155</v>
      </c>
      <c r="BE4" s="224"/>
      <c r="BF4" s="224" t="s">
        <v>257</v>
      </c>
      <c r="BG4" s="224"/>
      <c r="BH4" s="238" t="s">
        <v>145</v>
      </c>
      <c r="BI4" s="238"/>
      <c r="BJ4" s="237" t="s">
        <v>146</v>
      </c>
      <c r="BK4" s="237"/>
      <c r="BL4" s="224" t="s">
        <v>147</v>
      </c>
      <c r="BM4" s="224"/>
      <c r="BN4" s="224" t="s">
        <v>148</v>
      </c>
      <c r="BO4" s="224"/>
      <c r="BP4" s="224" t="s">
        <v>149</v>
      </c>
      <c r="BQ4" s="224"/>
      <c r="BR4" s="224" t="s">
        <v>150</v>
      </c>
      <c r="BS4" s="224"/>
      <c r="BT4" s="224" t="s">
        <v>151</v>
      </c>
      <c r="BU4" s="224"/>
      <c r="BV4" s="224" t="s">
        <v>256</v>
      </c>
      <c r="BW4" s="224"/>
      <c r="BX4" s="224" t="s">
        <v>153</v>
      </c>
      <c r="BY4" s="224"/>
      <c r="BZ4" s="224" t="s">
        <v>154</v>
      </c>
      <c r="CA4" s="224"/>
      <c r="CB4" s="224" t="s">
        <v>155</v>
      </c>
      <c r="CC4" s="224"/>
      <c r="CD4" s="224" t="s">
        <v>257</v>
      </c>
      <c r="CE4" s="224"/>
      <c r="CF4" s="224" t="s">
        <v>145</v>
      </c>
      <c r="CG4" s="224"/>
      <c r="CH4" s="224" t="s">
        <v>146</v>
      </c>
      <c r="CI4" s="224"/>
      <c r="CJ4" s="224" t="s">
        <v>147</v>
      </c>
      <c r="CK4" s="224"/>
      <c r="CL4" s="224" t="s">
        <v>148</v>
      </c>
      <c r="CM4" s="224"/>
      <c r="CN4" s="224" t="s">
        <v>149</v>
      </c>
      <c r="CO4" s="224"/>
      <c r="CP4" s="224" t="s">
        <v>150</v>
      </c>
      <c r="CQ4" s="224"/>
      <c r="CR4" s="224" t="s">
        <v>151</v>
      </c>
      <c r="CS4" s="224"/>
      <c r="CT4" s="224" t="s">
        <v>256</v>
      </c>
      <c r="CU4" s="224"/>
      <c r="CV4" s="224" t="s">
        <v>153</v>
      </c>
      <c r="CW4" s="224"/>
      <c r="CX4" s="224" t="s">
        <v>154</v>
      </c>
      <c r="CY4" s="224"/>
      <c r="CZ4" s="224" t="s">
        <v>155</v>
      </c>
      <c r="DA4" s="224"/>
      <c r="DB4" s="224" t="s">
        <v>257</v>
      </c>
      <c r="DC4" s="224"/>
      <c r="DD4" s="224" t="s">
        <v>145</v>
      </c>
      <c r="DE4" s="224"/>
      <c r="DF4" s="224" t="s">
        <v>146</v>
      </c>
      <c r="DG4" s="224"/>
      <c r="DH4" s="224" t="s">
        <v>147</v>
      </c>
      <c r="DI4" s="224"/>
      <c r="DJ4" s="224" t="s">
        <v>148</v>
      </c>
      <c r="DK4" s="224"/>
      <c r="DL4" s="224" t="s">
        <v>149</v>
      </c>
      <c r="DM4" s="224"/>
      <c r="DN4" s="224" t="s">
        <v>150</v>
      </c>
      <c r="DO4" s="224"/>
      <c r="DP4" s="224" t="s">
        <v>151</v>
      </c>
      <c r="DQ4" s="224"/>
      <c r="DR4" s="224" t="s">
        <v>256</v>
      </c>
      <c r="DS4" s="224"/>
      <c r="DT4" s="224" t="s">
        <v>153</v>
      </c>
      <c r="DU4" s="224"/>
      <c r="DV4" s="224" t="s">
        <v>154</v>
      </c>
      <c r="DW4" s="224"/>
      <c r="DX4" s="224" t="s">
        <v>155</v>
      </c>
      <c r="DY4" s="224"/>
      <c r="DZ4" s="224" t="s">
        <v>257</v>
      </c>
      <c r="EA4" s="224"/>
    </row>
    <row r="5" spans="2:131" ht="16" x14ac:dyDescent="0.2">
      <c r="F5" s="130" t="s">
        <v>258</v>
      </c>
      <c r="G5" s="57"/>
      <c r="H5" s="131"/>
      <c r="I5" s="131"/>
      <c r="J5" s="131"/>
      <c r="K5" s="131"/>
      <c r="L5" s="238">
        <v>0.1</v>
      </c>
      <c r="M5" s="238"/>
      <c r="N5" s="238">
        <v>0.2</v>
      </c>
      <c r="O5" s="238"/>
      <c r="P5" s="238">
        <v>0.3</v>
      </c>
      <c r="Q5" s="238"/>
      <c r="R5" s="238">
        <v>0.5</v>
      </c>
      <c r="S5" s="238"/>
      <c r="T5" s="238">
        <v>0.7</v>
      </c>
      <c r="U5" s="238"/>
      <c r="V5" s="238">
        <v>0.85</v>
      </c>
      <c r="W5" s="238"/>
      <c r="X5" s="238">
        <v>1</v>
      </c>
      <c r="Y5" s="238"/>
      <c r="Z5" s="238">
        <v>1</v>
      </c>
      <c r="AA5" s="238"/>
      <c r="AB5" s="238">
        <v>1</v>
      </c>
      <c r="AC5" s="238"/>
      <c r="AD5" s="238">
        <v>1</v>
      </c>
      <c r="AE5" s="238"/>
      <c r="AF5" s="238">
        <v>1</v>
      </c>
      <c r="AG5" s="238"/>
      <c r="AH5" s="238">
        <v>1</v>
      </c>
      <c r="AI5" s="238"/>
      <c r="AJ5" s="238">
        <v>1.1499999999999999</v>
      </c>
      <c r="AK5" s="238"/>
      <c r="AL5" s="238">
        <v>1.1499999999999999</v>
      </c>
      <c r="AM5" s="238"/>
      <c r="AN5" s="238">
        <v>1.1499999999999999</v>
      </c>
      <c r="AO5" s="238"/>
      <c r="AP5" s="238">
        <v>1.1499999999999999</v>
      </c>
      <c r="AQ5" s="238"/>
      <c r="AR5" s="238">
        <v>1.1499999999999999</v>
      </c>
      <c r="AS5" s="238"/>
      <c r="AT5" s="238">
        <v>1.1499999999999999</v>
      </c>
      <c r="AU5" s="238"/>
      <c r="AV5" s="238">
        <v>1.1499999999999999</v>
      </c>
      <c r="AW5" s="238"/>
      <c r="AX5" s="238">
        <v>1.1499999999999999</v>
      </c>
      <c r="AY5" s="238"/>
      <c r="AZ5" s="238">
        <v>1.1499999999999999</v>
      </c>
      <c r="BA5" s="238"/>
      <c r="BB5" s="238">
        <v>1.1499999999999999</v>
      </c>
      <c r="BC5" s="238"/>
      <c r="BD5" s="238">
        <v>1.1499999999999999</v>
      </c>
      <c r="BE5" s="238"/>
      <c r="BF5" s="238">
        <v>1.1499999999999999</v>
      </c>
      <c r="BG5" s="238"/>
      <c r="BH5" s="238">
        <v>1.3</v>
      </c>
      <c r="BI5" s="238"/>
      <c r="BJ5" s="238">
        <v>1.3</v>
      </c>
      <c r="BK5" s="238"/>
      <c r="BL5" s="238">
        <v>1.3</v>
      </c>
      <c r="BM5" s="238"/>
      <c r="BN5" s="238">
        <v>1.3</v>
      </c>
      <c r="BO5" s="238"/>
      <c r="BP5" s="238">
        <v>1.3</v>
      </c>
      <c r="BQ5" s="238"/>
      <c r="BR5" s="238">
        <v>1.3</v>
      </c>
      <c r="BS5" s="238"/>
      <c r="BT5" s="238">
        <v>1.3</v>
      </c>
      <c r="BU5" s="238"/>
      <c r="BV5" s="238">
        <v>1.3</v>
      </c>
      <c r="BW5" s="238"/>
      <c r="BX5" s="238">
        <v>1.3</v>
      </c>
      <c r="BY5" s="238"/>
      <c r="BZ5" s="238">
        <v>1.3</v>
      </c>
      <c r="CA5" s="238"/>
      <c r="CB5" s="238">
        <v>1.3</v>
      </c>
      <c r="CC5" s="238"/>
      <c r="CD5" s="238">
        <v>1.3</v>
      </c>
      <c r="CE5" s="238"/>
      <c r="CF5" s="238">
        <v>1.45</v>
      </c>
      <c r="CG5" s="238"/>
      <c r="CH5" s="238">
        <v>1.45</v>
      </c>
      <c r="CI5" s="238"/>
      <c r="CJ5" s="238">
        <v>1.45</v>
      </c>
      <c r="CK5" s="238"/>
      <c r="CL5" s="238">
        <v>1.45</v>
      </c>
      <c r="CM5" s="238"/>
      <c r="CN5" s="238">
        <v>1.45</v>
      </c>
      <c r="CO5" s="238"/>
      <c r="CP5" s="238">
        <v>1.45</v>
      </c>
      <c r="CQ5" s="238"/>
      <c r="CR5" s="238">
        <v>1.45</v>
      </c>
      <c r="CS5" s="238"/>
      <c r="CT5" s="238">
        <v>1.45</v>
      </c>
      <c r="CU5" s="238"/>
      <c r="CV5" s="238">
        <v>1.45</v>
      </c>
      <c r="CW5" s="238"/>
      <c r="CX5" s="238">
        <v>1.45</v>
      </c>
      <c r="CY5" s="238"/>
      <c r="CZ5" s="238">
        <v>1.45</v>
      </c>
      <c r="DA5" s="238"/>
      <c r="DB5" s="238">
        <v>1.45</v>
      </c>
      <c r="DC5" s="238"/>
      <c r="DD5" s="238">
        <v>1.6</v>
      </c>
      <c r="DE5" s="238"/>
      <c r="DF5" s="238">
        <v>1.6</v>
      </c>
      <c r="DG5" s="238"/>
      <c r="DH5" s="238">
        <v>1.6</v>
      </c>
      <c r="DI5" s="238"/>
      <c r="DJ5" s="238">
        <v>1.6</v>
      </c>
      <c r="DK5" s="238"/>
      <c r="DL5" s="238">
        <v>1.6</v>
      </c>
      <c r="DM5" s="238"/>
      <c r="DN5" s="238">
        <v>1.6</v>
      </c>
      <c r="DO5" s="238"/>
      <c r="DP5" s="238">
        <v>1.6</v>
      </c>
      <c r="DQ5" s="238"/>
      <c r="DR5" s="238">
        <v>1.6</v>
      </c>
      <c r="DS5" s="238"/>
      <c r="DT5" s="238">
        <v>1.6</v>
      </c>
      <c r="DU5" s="238"/>
      <c r="DV5" s="238">
        <v>1.6</v>
      </c>
      <c r="DW5" s="238"/>
      <c r="DX5" s="238">
        <v>1.6</v>
      </c>
      <c r="DY5" s="238"/>
      <c r="DZ5" s="238">
        <v>1.6</v>
      </c>
      <c r="EA5" s="238"/>
    </row>
    <row r="6" spans="2:131" ht="16" x14ac:dyDescent="0.2">
      <c r="F6" s="130" t="s">
        <v>259</v>
      </c>
      <c r="G6" s="57">
        <v>30</v>
      </c>
      <c r="H6" s="131">
        <f>G6*8</f>
        <v>240</v>
      </c>
      <c r="I6" s="131">
        <f>$H$6*30</f>
        <v>7200</v>
      </c>
      <c r="J6" s="131">
        <f>I6*J4</f>
        <v>5400</v>
      </c>
      <c r="K6" s="131">
        <f>I6*K4</f>
        <v>1800</v>
      </c>
      <c r="L6" s="234">
        <f>I6*$L$5</f>
        <v>720</v>
      </c>
      <c r="M6" s="234"/>
      <c r="N6" s="234">
        <f>$I$6*N5</f>
        <v>1440</v>
      </c>
      <c r="O6" s="234"/>
      <c r="P6" s="234">
        <f>$I$6*P5</f>
        <v>2160</v>
      </c>
      <c r="Q6" s="234"/>
      <c r="R6" s="234">
        <f>$I$6*R5</f>
        <v>3600</v>
      </c>
      <c r="S6" s="234"/>
      <c r="T6" s="234">
        <f>$I$6*T5</f>
        <v>5040</v>
      </c>
      <c r="U6" s="234"/>
      <c r="V6" s="234">
        <f>$I$6*V5</f>
        <v>6120</v>
      </c>
      <c r="W6" s="234"/>
      <c r="X6" s="234">
        <f>$I$6*X5</f>
        <v>7200</v>
      </c>
      <c r="Y6" s="234"/>
      <c r="Z6" s="234">
        <f>$I$6*Z5</f>
        <v>7200</v>
      </c>
      <c r="AA6" s="234"/>
      <c r="AB6" s="234">
        <f>$I$6*AB5</f>
        <v>7200</v>
      </c>
      <c r="AC6" s="234"/>
      <c r="AD6" s="234">
        <f>$I$6*AD5</f>
        <v>7200</v>
      </c>
      <c r="AE6" s="234"/>
      <c r="AF6" s="234">
        <f>$I$6*AF5</f>
        <v>7200</v>
      </c>
      <c r="AG6" s="234"/>
      <c r="AH6" s="234">
        <f>$I$6*AH5</f>
        <v>7200</v>
      </c>
      <c r="AI6" s="234"/>
      <c r="AJ6" s="234">
        <f>$I$6*AJ5</f>
        <v>8280</v>
      </c>
      <c r="AK6" s="234"/>
      <c r="AL6" s="234">
        <f>$I$6*AL5</f>
        <v>8280</v>
      </c>
      <c r="AM6" s="234"/>
      <c r="AN6" s="234">
        <f>$I$6*AN5</f>
        <v>8280</v>
      </c>
      <c r="AO6" s="234"/>
      <c r="AP6" s="234">
        <f>$I$6*AP5</f>
        <v>8280</v>
      </c>
      <c r="AQ6" s="234"/>
      <c r="AR6" s="234">
        <f>$I$6*AR5</f>
        <v>8280</v>
      </c>
      <c r="AS6" s="234"/>
      <c r="AT6" s="234">
        <f>$I$6*AT5</f>
        <v>8280</v>
      </c>
      <c r="AU6" s="234"/>
      <c r="AV6" s="234">
        <f>$I$6*AV5</f>
        <v>8280</v>
      </c>
      <c r="AW6" s="234"/>
      <c r="AX6" s="234">
        <f>$I$6*AX5</f>
        <v>8280</v>
      </c>
      <c r="AY6" s="234"/>
      <c r="AZ6" s="234">
        <f>$I$6*AZ5</f>
        <v>8280</v>
      </c>
      <c r="BA6" s="234"/>
      <c r="BB6" s="234">
        <f>$I$6*BB5</f>
        <v>8280</v>
      </c>
      <c r="BC6" s="234"/>
      <c r="BD6" s="234">
        <f>$I$6*BD5</f>
        <v>8280</v>
      </c>
      <c r="BE6" s="234"/>
      <c r="BF6" s="234">
        <f>$I$6*BF5</f>
        <v>8280</v>
      </c>
      <c r="BG6" s="234"/>
      <c r="BH6" s="237">
        <f>$I$6*BH5</f>
        <v>9360</v>
      </c>
      <c r="BI6" s="237"/>
      <c r="BJ6" s="237">
        <f>$I$6*BJ5</f>
        <v>9360</v>
      </c>
      <c r="BK6" s="237"/>
      <c r="BL6" s="234">
        <f>$I$6*BL5</f>
        <v>9360</v>
      </c>
      <c r="BM6" s="234"/>
      <c r="BN6" s="234">
        <f>$I$6*BN5</f>
        <v>9360</v>
      </c>
      <c r="BO6" s="234"/>
      <c r="BP6" s="234">
        <f>$I$6*BP5</f>
        <v>9360</v>
      </c>
      <c r="BQ6" s="234"/>
      <c r="BR6" s="234">
        <f>$I$6*BR5</f>
        <v>9360</v>
      </c>
      <c r="BS6" s="234"/>
      <c r="BT6" s="234">
        <f>$I$6*BT5</f>
        <v>9360</v>
      </c>
      <c r="BU6" s="234"/>
      <c r="BV6" s="234">
        <f>$I$6*BV5</f>
        <v>9360</v>
      </c>
      <c r="BW6" s="234"/>
      <c r="BX6" s="234">
        <f>$I$6*BX5</f>
        <v>9360</v>
      </c>
      <c r="BY6" s="234"/>
      <c r="BZ6" s="234">
        <f>$I$6*BZ5</f>
        <v>9360</v>
      </c>
      <c r="CA6" s="234"/>
      <c r="CB6" s="234">
        <f>$I$6*CB5</f>
        <v>9360</v>
      </c>
      <c r="CC6" s="234"/>
      <c r="CD6" s="234">
        <f>$I$6*CD5</f>
        <v>9360</v>
      </c>
      <c r="CE6" s="234"/>
      <c r="CF6" s="234">
        <f>$I$6*CF5</f>
        <v>10440</v>
      </c>
      <c r="CG6" s="234"/>
      <c r="CH6" s="234">
        <f>$I$6*CH5</f>
        <v>10440</v>
      </c>
      <c r="CI6" s="234"/>
      <c r="CJ6" s="234">
        <f>$I$6*CJ5</f>
        <v>10440</v>
      </c>
      <c r="CK6" s="234"/>
      <c r="CL6" s="234">
        <f>$I$6*CL5</f>
        <v>10440</v>
      </c>
      <c r="CM6" s="234"/>
      <c r="CN6" s="234">
        <f>$I$6*CN5</f>
        <v>10440</v>
      </c>
      <c r="CO6" s="234"/>
      <c r="CP6" s="234">
        <f>$I$6*CP5</f>
        <v>10440</v>
      </c>
      <c r="CQ6" s="234"/>
      <c r="CR6" s="234">
        <f>$I$6*CR5</f>
        <v>10440</v>
      </c>
      <c r="CS6" s="234"/>
      <c r="CT6" s="234">
        <f>$I$6*CT5</f>
        <v>10440</v>
      </c>
      <c r="CU6" s="234"/>
      <c r="CV6" s="234">
        <f>$I$6*CV5</f>
        <v>10440</v>
      </c>
      <c r="CW6" s="234"/>
      <c r="CX6" s="234">
        <f>$I$6*CX5</f>
        <v>10440</v>
      </c>
      <c r="CY6" s="234"/>
      <c r="CZ6" s="234">
        <f>$I$6*CZ5</f>
        <v>10440</v>
      </c>
      <c r="DA6" s="234"/>
      <c r="DB6" s="234">
        <f>$I$6*DB5</f>
        <v>10440</v>
      </c>
      <c r="DC6" s="234"/>
      <c r="DD6" s="234">
        <f>$I$6*DD5</f>
        <v>11520</v>
      </c>
      <c r="DE6" s="234"/>
      <c r="DF6" s="234">
        <f>$I$6*DF5</f>
        <v>11520</v>
      </c>
      <c r="DG6" s="234"/>
      <c r="DH6" s="234">
        <f>$I$6*DH5</f>
        <v>11520</v>
      </c>
      <c r="DI6" s="234"/>
      <c r="DJ6" s="234">
        <f>$I$6*DJ5</f>
        <v>11520</v>
      </c>
      <c r="DK6" s="234"/>
      <c r="DL6" s="234">
        <f>$I$6*DL5</f>
        <v>11520</v>
      </c>
      <c r="DM6" s="234"/>
      <c r="DN6" s="234">
        <f>$I$6*DN5</f>
        <v>11520</v>
      </c>
      <c r="DO6" s="234"/>
      <c r="DP6" s="234">
        <f>$I$6*DP5</f>
        <v>11520</v>
      </c>
      <c r="DQ6" s="234"/>
      <c r="DR6" s="234">
        <f>$I$6*DR5</f>
        <v>11520</v>
      </c>
      <c r="DS6" s="234"/>
      <c r="DT6" s="234">
        <f>$I$6*DT5</f>
        <v>11520</v>
      </c>
      <c r="DU6" s="234"/>
      <c r="DV6" s="234">
        <f>$I$6*DV5</f>
        <v>11520</v>
      </c>
      <c r="DW6" s="234"/>
      <c r="DX6" s="234">
        <f>$I$6*DX5</f>
        <v>11520</v>
      </c>
      <c r="DY6" s="234"/>
      <c r="DZ6" s="234">
        <f>$I$6*DZ5</f>
        <v>11520</v>
      </c>
      <c r="EA6" s="234"/>
    </row>
    <row r="7" spans="2:131" ht="16" x14ac:dyDescent="0.2">
      <c r="F7" s="130" t="s">
        <v>260</v>
      </c>
      <c r="G7" s="57">
        <v>15</v>
      </c>
      <c r="H7" s="131">
        <f>G7*8</f>
        <v>120</v>
      </c>
      <c r="I7" s="131">
        <f>H7*30</f>
        <v>3600</v>
      </c>
      <c r="J7" s="131">
        <f>I7*J4</f>
        <v>2700</v>
      </c>
      <c r="K7" s="131">
        <f>I7*K4</f>
        <v>900</v>
      </c>
      <c r="L7" s="234">
        <f>I7*L5</f>
        <v>360</v>
      </c>
      <c r="M7" s="234"/>
      <c r="N7" s="234">
        <f>$I$7*N5</f>
        <v>720</v>
      </c>
      <c r="O7" s="234"/>
      <c r="P7" s="234">
        <f>$I$7*P5</f>
        <v>1080</v>
      </c>
      <c r="Q7" s="234"/>
      <c r="R7" s="234">
        <f>$I$7*R5</f>
        <v>1800</v>
      </c>
      <c r="S7" s="234"/>
      <c r="T7" s="234">
        <f>$I$7*T5</f>
        <v>2520</v>
      </c>
      <c r="U7" s="234"/>
      <c r="V7" s="234">
        <f>$I$7*V5</f>
        <v>3060</v>
      </c>
      <c r="W7" s="234"/>
      <c r="X7" s="234">
        <f>$I$7*X5</f>
        <v>3600</v>
      </c>
      <c r="Y7" s="234"/>
      <c r="Z7" s="234">
        <f>$I$7*Z5</f>
        <v>3600</v>
      </c>
      <c r="AA7" s="234"/>
      <c r="AB7" s="234">
        <f>$I$7*AB5</f>
        <v>3600</v>
      </c>
      <c r="AC7" s="234"/>
      <c r="AD7" s="234">
        <f>$I$7*AD5</f>
        <v>3600</v>
      </c>
      <c r="AE7" s="234"/>
      <c r="AF7" s="234">
        <f>$I$7*AF5</f>
        <v>3600</v>
      </c>
      <c r="AG7" s="234"/>
      <c r="AH7" s="234">
        <f>$I$7*AH5</f>
        <v>3600</v>
      </c>
      <c r="AI7" s="234"/>
      <c r="AJ7" s="234">
        <f>$I$7*AJ5</f>
        <v>4140</v>
      </c>
      <c r="AK7" s="234"/>
      <c r="AL7" s="234">
        <f>$I$7*AL5</f>
        <v>4140</v>
      </c>
      <c r="AM7" s="234"/>
      <c r="AN7" s="234">
        <f>$I$7*AN5</f>
        <v>4140</v>
      </c>
      <c r="AO7" s="234"/>
      <c r="AP7" s="234">
        <f>$I$7*AP5</f>
        <v>4140</v>
      </c>
      <c r="AQ7" s="234"/>
      <c r="AR7" s="234">
        <f>$I$7*AR5</f>
        <v>4140</v>
      </c>
      <c r="AS7" s="234"/>
      <c r="AT7" s="234">
        <f>$I$7*AT5</f>
        <v>4140</v>
      </c>
      <c r="AU7" s="234"/>
      <c r="AV7" s="234">
        <f>$I$7*AV5</f>
        <v>4140</v>
      </c>
      <c r="AW7" s="234"/>
      <c r="AX7" s="234">
        <f>$I$7*AX5</f>
        <v>4140</v>
      </c>
      <c r="AY7" s="234"/>
      <c r="AZ7" s="234">
        <f>$I$7*AZ5</f>
        <v>4140</v>
      </c>
      <c r="BA7" s="234"/>
      <c r="BB7" s="234">
        <f>$I$7*BB5</f>
        <v>4140</v>
      </c>
      <c r="BC7" s="234"/>
      <c r="BD7" s="234">
        <f>$I$7*BD5</f>
        <v>4140</v>
      </c>
      <c r="BE7" s="234"/>
      <c r="BF7" s="234">
        <f>$I$7*BF5</f>
        <v>4140</v>
      </c>
      <c r="BG7" s="234"/>
      <c r="BH7" s="237">
        <f>$I$7*BH5</f>
        <v>4680</v>
      </c>
      <c r="BI7" s="237"/>
      <c r="BJ7" s="237">
        <f>$I$7*BJ5</f>
        <v>4680</v>
      </c>
      <c r="BK7" s="237"/>
      <c r="BL7" s="234">
        <f>$I$7*BL5</f>
        <v>4680</v>
      </c>
      <c r="BM7" s="234"/>
      <c r="BN7" s="234">
        <f>$I$7*BN5</f>
        <v>4680</v>
      </c>
      <c r="BO7" s="234"/>
      <c r="BP7" s="234">
        <f>$I$7*BP5</f>
        <v>4680</v>
      </c>
      <c r="BQ7" s="234"/>
      <c r="BR7" s="234">
        <f>$I$7*BR5</f>
        <v>4680</v>
      </c>
      <c r="BS7" s="234"/>
      <c r="BT7" s="234">
        <f>$I$7*BT5</f>
        <v>4680</v>
      </c>
      <c r="BU7" s="234"/>
      <c r="BV7" s="234">
        <f>$I$7*BV5</f>
        <v>4680</v>
      </c>
      <c r="BW7" s="234"/>
      <c r="BX7" s="234">
        <f>$I$7*BX5</f>
        <v>4680</v>
      </c>
      <c r="BY7" s="234"/>
      <c r="BZ7" s="234">
        <f>$I$7*BZ5</f>
        <v>4680</v>
      </c>
      <c r="CA7" s="234"/>
      <c r="CB7" s="234">
        <f>$I$7*CB5</f>
        <v>4680</v>
      </c>
      <c r="CC7" s="234"/>
      <c r="CD7" s="234">
        <f>$I$7*CD5</f>
        <v>4680</v>
      </c>
      <c r="CE7" s="234"/>
      <c r="CF7" s="234">
        <f>$I$7*CF5</f>
        <v>5220</v>
      </c>
      <c r="CG7" s="234"/>
      <c r="CH7" s="234">
        <f>$I$7*CH5</f>
        <v>5220</v>
      </c>
      <c r="CI7" s="234"/>
      <c r="CJ7" s="234">
        <f>$I$7*CJ5</f>
        <v>5220</v>
      </c>
      <c r="CK7" s="234"/>
      <c r="CL7" s="234">
        <f>$I$7*CL5</f>
        <v>5220</v>
      </c>
      <c r="CM7" s="234"/>
      <c r="CN7" s="234">
        <f>$I$7*CN5</f>
        <v>5220</v>
      </c>
      <c r="CO7" s="234"/>
      <c r="CP7" s="234">
        <f>$I$7*CP5</f>
        <v>5220</v>
      </c>
      <c r="CQ7" s="234"/>
      <c r="CR7" s="234">
        <f>$I$7*CR5</f>
        <v>5220</v>
      </c>
      <c r="CS7" s="234"/>
      <c r="CT7" s="234">
        <f>$I$7*CT5</f>
        <v>5220</v>
      </c>
      <c r="CU7" s="234"/>
      <c r="CV7" s="234">
        <f>$I$7*CV5</f>
        <v>5220</v>
      </c>
      <c r="CW7" s="234"/>
      <c r="CX7" s="234">
        <f>$I$7*CX5</f>
        <v>5220</v>
      </c>
      <c r="CY7" s="234"/>
      <c r="CZ7" s="234">
        <f>$I$7*CZ5</f>
        <v>5220</v>
      </c>
      <c r="DA7" s="234"/>
      <c r="DB7" s="234">
        <f>$I$7*DB5</f>
        <v>5220</v>
      </c>
      <c r="DC7" s="234"/>
      <c r="DD7" s="234">
        <f>$I$7*DD5</f>
        <v>5760</v>
      </c>
      <c r="DE7" s="234"/>
      <c r="DF7" s="234">
        <f>$I$7*DF5</f>
        <v>5760</v>
      </c>
      <c r="DG7" s="234"/>
      <c r="DH7" s="234">
        <f>$I$7*DH5</f>
        <v>5760</v>
      </c>
      <c r="DI7" s="234"/>
      <c r="DJ7" s="234">
        <f>$I$7*DJ5</f>
        <v>5760</v>
      </c>
      <c r="DK7" s="234"/>
      <c r="DL7" s="234">
        <f>$I$7*DL5</f>
        <v>5760</v>
      </c>
      <c r="DM7" s="234"/>
      <c r="DN7" s="234">
        <f>$I$7*DN5</f>
        <v>5760</v>
      </c>
      <c r="DO7" s="234"/>
      <c r="DP7" s="234">
        <f>$I$7*DP5</f>
        <v>5760</v>
      </c>
      <c r="DQ7" s="234"/>
      <c r="DR7" s="234">
        <f>$I$7*DR5</f>
        <v>5760</v>
      </c>
      <c r="DS7" s="234"/>
      <c r="DT7" s="234">
        <f>$I$7*DT5</f>
        <v>5760</v>
      </c>
      <c r="DU7" s="234"/>
      <c r="DV7" s="234">
        <f>$I$7*DV5</f>
        <v>5760</v>
      </c>
      <c r="DW7" s="234"/>
      <c r="DX7" s="234">
        <f>$I$7*DX5</f>
        <v>5760</v>
      </c>
      <c r="DY7" s="234"/>
      <c r="DZ7" s="234">
        <f>$I$7*DZ5</f>
        <v>5760</v>
      </c>
      <c r="EA7" s="234"/>
    </row>
    <row r="8" spans="2:131" ht="16" x14ac:dyDescent="0.2">
      <c r="F8" s="130" t="s">
        <v>261</v>
      </c>
      <c r="G8" s="57">
        <v>5</v>
      </c>
      <c r="H8" s="131">
        <f>G8*8</f>
        <v>40</v>
      </c>
      <c r="I8" s="131">
        <f>H8*30</f>
        <v>1200</v>
      </c>
      <c r="J8" s="131">
        <f>I8*J4</f>
        <v>900</v>
      </c>
      <c r="K8" s="131">
        <f>I8*K4</f>
        <v>300</v>
      </c>
      <c r="L8" s="234">
        <f>I8*L5</f>
        <v>120</v>
      </c>
      <c r="M8" s="234"/>
      <c r="N8" s="234">
        <f>$I$8*N5</f>
        <v>240</v>
      </c>
      <c r="O8" s="234"/>
      <c r="P8" s="234">
        <f>$I$8*P5</f>
        <v>360</v>
      </c>
      <c r="Q8" s="234"/>
      <c r="R8" s="234">
        <f>$I$8*R5</f>
        <v>600</v>
      </c>
      <c r="S8" s="234"/>
      <c r="T8" s="234">
        <f>$I$8*T5</f>
        <v>840</v>
      </c>
      <c r="U8" s="234"/>
      <c r="V8" s="234">
        <f>$I$8*V5</f>
        <v>1020</v>
      </c>
      <c r="W8" s="234"/>
      <c r="X8" s="234">
        <f>$I$8*X5</f>
        <v>1200</v>
      </c>
      <c r="Y8" s="234"/>
      <c r="Z8" s="234">
        <f>$I$8*Z5</f>
        <v>1200</v>
      </c>
      <c r="AA8" s="234"/>
      <c r="AB8" s="234">
        <f>$I$8*AB5</f>
        <v>1200</v>
      </c>
      <c r="AC8" s="234"/>
      <c r="AD8" s="234">
        <f>$I$8*AD5</f>
        <v>1200</v>
      </c>
      <c r="AE8" s="234"/>
      <c r="AF8" s="234">
        <f>$I$8*AF5</f>
        <v>1200</v>
      </c>
      <c r="AG8" s="234"/>
      <c r="AH8" s="234">
        <f>$I$8*AH5</f>
        <v>1200</v>
      </c>
      <c r="AI8" s="234"/>
      <c r="AJ8" s="234">
        <f>$I$8*AJ5</f>
        <v>1380</v>
      </c>
      <c r="AK8" s="234"/>
      <c r="AL8" s="234">
        <f>$I$8*AL5</f>
        <v>1380</v>
      </c>
      <c r="AM8" s="234"/>
      <c r="AN8" s="234">
        <f>$I$8*AN5</f>
        <v>1380</v>
      </c>
      <c r="AO8" s="234"/>
      <c r="AP8" s="234">
        <f>$I$8*AP5</f>
        <v>1380</v>
      </c>
      <c r="AQ8" s="234"/>
      <c r="AR8" s="234">
        <f>$I$8*AR5</f>
        <v>1380</v>
      </c>
      <c r="AS8" s="234"/>
      <c r="AT8" s="234">
        <f>$I$8*AT5</f>
        <v>1380</v>
      </c>
      <c r="AU8" s="234"/>
      <c r="AV8" s="234">
        <f>$I$8*AV5</f>
        <v>1380</v>
      </c>
      <c r="AW8" s="234"/>
      <c r="AX8" s="234">
        <f>$I$8*AX5</f>
        <v>1380</v>
      </c>
      <c r="AY8" s="234"/>
      <c r="AZ8" s="234">
        <f>$I$8*AZ5</f>
        <v>1380</v>
      </c>
      <c r="BA8" s="234"/>
      <c r="BB8" s="234">
        <f>$I$8*BB5</f>
        <v>1380</v>
      </c>
      <c r="BC8" s="234"/>
      <c r="BD8" s="234">
        <f>$I$8*BD5</f>
        <v>1380</v>
      </c>
      <c r="BE8" s="234"/>
      <c r="BF8" s="234">
        <f>$I$8*BF5</f>
        <v>1380</v>
      </c>
      <c r="BG8" s="234"/>
      <c r="BH8" s="237">
        <f>$I$8*BH5</f>
        <v>1560</v>
      </c>
      <c r="BI8" s="237"/>
      <c r="BJ8" s="237">
        <f>$I$8*BJ5</f>
        <v>1560</v>
      </c>
      <c r="BK8" s="237"/>
      <c r="BL8" s="234">
        <f>$I$8*BL5</f>
        <v>1560</v>
      </c>
      <c r="BM8" s="234"/>
      <c r="BN8" s="234">
        <f>$I$8*BN5</f>
        <v>1560</v>
      </c>
      <c r="BO8" s="234"/>
      <c r="BP8" s="234">
        <f>$I$8*BP5</f>
        <v>1560</v>
      </c>
      <c r="BQ8" s="234"/>
      <c r="BR8" s="234">
        <f>$I$8*BR5</f>
        <v>1560</v>
      </c>
      <c r="BS8" s="234"/>
      <c r="BT8" s="234">
        <f>$I$8*BT5</f>
        <v>1560</v>
      </c>
      <c r="BU8" s="234"/>
      <c r="BV8" s="234">
        <f>$I$8*BV5</f>
        <v>1560</v>
      </c>
      <c r="BW8" s="234"/>
      <c r="BX8" s="234">
        <f>$I$8*BX5</f>
        <v>1560</v>
      </c>
      <c r="BY8" s="234"/>
      <c r="BZ8" s="234">
        <f>$I$8*BZ5</f>
        <v>1560</v>
      </c>
      <c r="CA8" s="234"/>
      <c r="CB8" s="234">
        <f>$I$8*CB5</f>
        <v>1560</v>
      </c>
      <c r="CC8" s="234"/>
      <c r="CD8" s="234">
        <f>$I$8*CD5</f>
        <v>1560</v>
      </c>
      <c r="CE8" s="234"/>
      <c r="CF8" s="234">
        <f>$I$8*CF5</f>
        <v>1740</v>
      </c>
      <c r="CG8" s="234"/>
      <c r="CH8" s="234">
        <f>$I$8*CH5</f>
        <v>1740</v>
      </c>
      <c r="CI8" s="234"/>
      <c r="CJ8" s="234">
        <f>$I$8*CJ5</f>
        <v>1740</v>
      </c>
      <c r="CK8" s="234"/>
      <c r="CL8" s="234">
        <f>$I$8*CL5</f>
        <v>1740</v>
      </c>
      <c r="CM8" s="234"/>
      <c r="CN8" s="234">
        <f>$I$8*CN5</f>
        <v>1740</v>
      </c>
      <c r="CO8" s="234"/>
      <c r="CP8" s="234">
        <f>$I$8*CP5</f>
        <v>1740</v>
      </c>
      <c r="CQ8" s="234"/>
      <c r="CR8" s="234">
        <f>$I$8*CR5</f>
        <v>1740</v>
      </c>
      <c r="CS8" s="234"/>
      <c r="CT8" s="234">
        <f>$I$8*CT5</f>
        <v>1740</v>
      </c>
      <c r="CU8" s="234"/>
      <c r="CV8" s="234">
        <f>$I$8*CV5</f>
        <v>1740</v>
      </c>
      <c r="CW8" s="234"/>
      <c r="CX8" s="234">
        <f>$I$8*CX5</f>
        <v>1740</v>
      </c>
      <c r="CY8" s="234"/>
      <c r="CZ8" s="234">
        <f>$I$8*CZ5</f>
        <v>1740</v>
      </c>
      <c r="DA8" s="234"/>
      <c r="DB8" s="234">
        <f>$I$8*DB5</f>
        <v>1740</v>
      </c>
      <c r="DC8" s="234"/>
      <c r="DD8" s="234">
        <f>$I$8*DD5</f>
        <v>1920</v>
      </c>
      <c r="DE8" s="234"/>
      <c r="DF8" s="234">
        <f>$I$8*DF5</f>
        <v>1920</v>
      </c>
      <c r="DG8" s="234"/>
      <c r="DH8" s="234">
        <f>$I$8*DH5</f>
        <v>1920</v>
      </c>
      <c r="DI8" s="234"/>
      <c r="DJ8" s="234">
        <f>$I$8*DJ5</f>
        <v>1920</v>
      </c>
      <c r="DK8" s="234"/>
      <c r="DL8" s="234">
        <f>$I$8*DL5</f>
        <v>1920</v>
      </c>
      <c r="DM8" s="234"/>
      <c r="DN8" s="234">
        <f>$I$8*DN5</f>
        <v>1920</v>
      </c>
      <c r="DO8" s="234"/>
      <c r="DP8" s="234">
        <f>$I$8*DP5</f>
        <v>1920</v>
      </c>
      <c r="DQ8" s="234"/>
      <c r="DR8" s="234">
        <f>$I$8*DR5</f>
        <v>1920</v>
      </c>
      <c r="DS8" s="234"/>
      <c r="DT8" s="234">
        <f>$I$8*DT5</f>
        <v>1920</v>
      </c>
      <c r="DU8" s="234"/>
      <c r="DV8" s="234">
        <f>$I$8*DV5</f>
        <v>1920</v>
      </c>
      <c r="DW8" s="234"/>
      <c r="DX8" s="234">
        <f>$I$8*DX5</f>
        <v>1920</v>
      </c>
      <c r="DY8" s="234"/>
      <c r="DZ8" s="235">
        <f>$I$8*DZ5</f>
        <v>1920</v>
      </c>
      <c r="EA8" s="235"/>
    </row>
    <row r="9" spans="2:131" x14ac:dyDescent="0.2">
      <c r="F9" s="236" t="s">
        <v>262</v>
      </c>
      <c r="G9" s="236"/>
      <c r="H9" s="132">
        <f>SUM(H6:H8)</f>
        <v>400</v>
      </c>
      <c r="I9" s="132"/>
      <c r="J9" s="132"/>
      <c r="K9" s="132"/>
      <c r="L9" s="227">
        <f>SUM(L5:L8)</f>
        <v>1200.0999999999999</v>
      </c>
      <c r="M9" s="227"/>
      <c r="N9" s="227">
        <f>SUM(N5:N8)</f>
        <v>2400.1999999999998</v>
      </c>
      <c r="O9" s="227"/>
      <c r="P9" s="227">
        <f>SUM(P5:P8)</f>
        <v>3600.3</v>
      </c>
      <c r="Q9" s="227"/>
      <c r="R9" s="227">
        <f>SUM(R5:R8)</f>
        <v>6000.5</v>
      </c>
      <c r="S9" s="227"/>
      <c r="T9" s="227">
        <f>SUM(T5:T8)</f>
        <v>8400.7000000000007</v>
      </c>
      <c r="U9" s="227"/>
      <c r="V9" s="227">
        <f>SUM(V5:V8)</f>
        <v>10200.85</v>
      </c>
      <c r="W9" s="227"/>
      <c r="X9" s="227">
        <f>SUM(X5:X8)</f>
        <v>12001</v>
      </c>
      <c r="Y9" s="227"/>
      <c r="Z9" s="227">
        <f>SUM(Z5:Z8)</f>
        <v>12001</v>
      </c>
      <c r="AA9" s="227"/>
      <c r="AB9" s="227">
        <f>SUM(AB5:AB8)</f>
        <v>12001</v>
      </c>
      <c r="AC9" s="227"/>
      <c r="AD9" s="227">
        <f>SUM(AD5:AD8)</f>
        <v>12001</v>
      </c>
      <c r="AE9" s="227"/>
      <c r="AF9" s="227">
        <f>SUM(AF5:AF8)</f>
        <v>12001</v>
      </c>
      <c r="AG9" s="227"/>
      <c r="AH9" s="227">
        <f>SUM(AH5:AH8)</f>
        <v>12001</v>
      </c>
      <c r="AI9" s="227"/>
      <c r="AJ9" s="227">
        <f>SUM(AJ5:AJ8)</f>
        <v>13801.15</v>
      </c>
      <c r="AK9" s="227"/>
      <c r="AL9" s="227">
        <f>SUM(AL5:AL8)</f>
        <v>13801.15</v>
      </c>
      <c r="AM9" s="227"/>
      <c r="AN9" s="227">
        <f>SUM(AN5:AN8)</f>
        <v>13801.15</v>
      </c>
      <c r="AO9" s="227"/>
      <c r="AP9" s="227">
        <f>SUM(AP5:AP8)</f>
        <v>13801.15</v>
      </c>
      <c r="AQ9" s="227"/>
      <c r="AR9" s="227">
        <f>SUM(AR5:AR8)</f>
        <v>13801.15</v>
      </c>
      <c r="AS9" s="227"/>
      <c r="AT9" s="227">
        <f>SUM(AT5:AT8)</f>
        <v>13801.15</v>
      </c>
      <c r="AU9" s="227"/>
      <c r="AV9" s="227">
        <f>SUM(AV5:AV8)</f>
        <v>13801.15</v>
      </c>
      <c r="AW9" s="227"/>
      <c r="AX9" s="227">
        <f>SUM(AX5:AX8)</f>
        <v>13801.15</v>
      </c>
      <c r="AY9" s="227"/>
      <c r="AZ9" s="227">
        <f>SUM(AZ5:AZ8)</f>
        <v>13801.15</v>
      </c>
      <c r="BA9" s="227"/>
      <c r="BB9" s="227">
        <f>SUM(BB5:BB8)</f>
        <v>13801.15</v>
      </c>
      <c r="BC9" s="227"/>
      <c r="BD9" s="227">
        <f>SUM(BD5:BD8)</f>
        <v>13801.15</v>
      </c>
      <c r="BE9" s="227"/>
      <c r="BF9" s="227">
        <f>SUM(BF5:BF8)</f>
        <v>13801.15</v>
      </c>
      <c r="BG9" s="227"/>
      <c r="BH9" s="227">
        <f>SUM(BH5:BH8)</f>
        <v>15601.3</v>
      </c>
      <c r="BI9" s="227"/>
      <c r="BJ9" s="227">
        <f>SUM(BJ5:BJ8)</f>
        <v>15601.3</v>
      </c>
      <c r="BK9" s="227"/>
      <c r="BL9" s="227">
        <f>SUM(BL5:BL8)</f>
        <v>15601.3</v>
      </c>
      <c r="BM9" s="227"/>
      <c r="BN9" s="227">
        <f>SUM(BN5:BN8)</f>
        <v>15601.3</v>
      </c>
      <c r="BO9" s="227"/>
      <c r="BP9" s="227">
        <f>SUM(BP5:BP8)</f>
        <v>15601.3</v>
      </c>
      <c r="BQ9" s="227"/>
      <c r="BR9" s="227">
        <f>SUM(BR5:BR8)</f>
        <v>15601.3</v>
      </c>
      <c r="BS9" s="227"/>
      <c r="BT9" s="227">
        <f>SUM(BT5:BT8)</f>
        <v>15601.3</v>
      </c>
      <c r="BU9" s="227"/>
      <c r="BV9" s="227">
        <f>SUM(BV5:BV8)</f>
        <v>15601.3</v>
      </c>
      <c r="BW9" s="227"/>
      <c r="BX9" s="227">
        <f>SUM(BX5:BX8)</f>
        <v>15601.3</v>
      </c>
      <c r="BY9" s="227"/>
      <c r="BZ9" s="227">
        <f>SUM(BZ5:BZ8)</f>
        <v>15601.3</v>
      </c>
      <c r="CA9" s="227"/>
      <c r="CB9" s="227">
        <f>SUM(CB5:CB8)</f>
        <v>15601.3</v>
      </c>
      <c r="CC9" s="227"/>
      <c r="CD9" s="227">
        <f>SUM(CD5:CD8)</f>
        <v>15601.3</v>
      </c>
      <c r="CE9" s="227"/>
      <c r="CF9" s="227">
        <f>SUM(CF5:CF8)</f>
        <v>17401.45</v>
      </c>
      <c r="CG9" s="227"/>
      <c r="CH9" s="227">
        <f>SUM(CH5:CH8)</f>
        <v>17401.45</v>
      </c>
      <c r="CI9" s="227"/>
      <c r="CJ9" s="227">
        <f>SUM(CJ5:CJ8)</f>
        <v>17401.45</v>
      </c>
      <c r="CK9" s="227"/>
      <c r="CL9" s="227">
        <f>SUM(CL5:CL8)</f>
        <v>17401.45</v>
      </c>
      <c r="CM9" s="227"/>
      <c r="CN9" s="227">
        <f>SUM(CN5:CN8)</f>
        <v>17401.45</v>
      </c>
      <c r="CO9" s="227"/>
      <c r="CP9" s="227">
        <f>SUM(CP5:CP8)</f>
        <v>17401.45</v>
      </c>
      <c r="CQ9" s="227"/>
      <c r="CR9" s="227">
        <f>SUM(CR5:CR8)</f>
        <v>17401.45</v>
      </c>
      <c r="CS9" s="227"/>
      <c r="CT9" s="227">
        <f>SUM(CT5:CT8)</f>
        <v>17401.45</v>
      </c>
      <c r="CU9" s="227"/>
      <c r="CV9" s="227">
        <f>SUM(CV5:CV8)</f>
        <v>17401.45</v>
      </c>
      <c r="CW9" s="227"/>
      <c r="CX9" s="227">
        <f>SUM(CX5:CX8)</f>
        <v>17401.45</v>
      </c>
      <c r="CY9" s="227"/>
      <c r="CZ9" s="227">
        <f>SUM(CZ5:CZ8)</f>
        <v>17401.45</v>
      </c>
      <c r="DA9" s="227"/>
      <c r="DB9" s="227">
        <f>SUM(DB5:DB8)</f>
        <v>17401.45</v>
      </c>
      <c r="DC9" s="227"/>
      <c r="DD9" s="227">
        <f>SUM(DD5:DD8)</f>
        <v>19201.599999999999</v>
      </c>
      <c r="DE9" s="227"/>
      <c r="DF9" s="227">
        <f>SUM(DF5:DF8)</f>
        <v>19201.599999999999</v>
      </c>
      <c r="DG9" s="227"/>
      <c r="DH9" s="227">
        <f>SUM(DH5:DH8)</f>
        <v>19201.599999999999</v>
      </c>
      <c r="DI9" s="227"/>
      <c r="DJ9" s="227">
        <f>SUM(DJ5:DJ8)</f>
        <v>19201.599999999999</v>
      </c>
      <c r="DK9" s="227"/>
      <c r="DL9" s="227">
        <f>SUM(DL5:DL8)</f>
        <v>19201.599999999999</v>
      </c>
      <c r="DM9" s="227"/>
      <c r="DN9" s="227">
        <f>SUM(DN5:DN8)</f>
        <v>19201.599999999999</v>
      </c>
      <c r="DO9" s="227"/>
      <c r="DP9" s="227">
        <f>SUM(DP5:DP8)</f>
        <v>19201.599999999999</v>
      </c>
      <c r="DQ9" s="227"/>
      <c r="DR9" s="227">
        <f>SUM(DR5:DR8)</f>
        <v>19201.599999999999</v>
      </c>
      <c r="DS9" s="227"/>
      <c r="DT9" s="227">
        <f>SUM(DT5:DT8)</f>
        <v>19201.599999999999</v>
      </c>
      <c r="DU9" s="227"/>
      <c r="DV9" s="227">
        <f>SUM(DV5:DV8)</f>
        <v>19201.599999999999</v>
      </c>
      <c r="DW9" s="227"/>
      <c r="DX9" s="228">
        <f>SUM(DX5:DX8)</f>
        <v>19201.599999999999</v>
      </c>
      <c r="DY9" s="228"/>
      <c r="DZ9" s="227">
        <f>SUM(DZ5:DZ8)</f>
        <v>19201.599999999999</v>
      </c>
      <c r="EA9" s="227"/>
    </row>
    <row r="10" spans="2:131" ht="32" x14ac:dyDescent="0.2">
      <c r="F10" s="134" t="s">
        <v>263</v>
      </c>
      <c r="G10" s="134" t="s">
        <v>264</v>
      </c>
      <c r="H10" s="229">
        <v>17.5</v>
      </c>
      <c r="I10" s="229"/>
      <c r="J10" s="229"/>
      <c r="K10" s="229"/>
      <c r="L10" s="135"/>
      <c r="M10" s="136"/>
    </row>
    <row r="11" spans="2:131" ht="32" x14ac:dyDescent="0.2">
      <c r="G11" s="134" t="s">
        <v>265</v>
      </c>
      <c r="H11" s="230">
        <v>7.5</v>
      </c>
      <c r="I11" s="230"/>
      <c r="J11" s="230"/>
      <c r="K11" s="230"/>
    </row>
    <row r="12" spans="2:131" x14ac:dyDescent="0.2">
      <c r="EA12" s="137"/>
    </row>
    <row r="13" spans="2:131" ht="45" customHeight="1" x14ac:dyDescent="0.2">
      <c r="F13" s="231" t="s">
        <v>250</v>
      </c>
      <c r="G13" s="232" t="s">
        <v>251</v>
      </c>
      <c r="H13" s="232" t="s">
        <v>266</v>
      </c>
      <c r="I13" s="232" t="s">
        <v>267</v>
      </c>
      <c r="J13" s="14" t="s">
        <v>254</v>
      </c>
      <c r="K13" s="14" t="s">
        <v>255</v>
      </c>
      <c r="L13" s="233" t="s">
        <v>112</v>
      </c>
      <c r="M13" s="233"/>
      <c r="N13" s="233"/>
      <c r="O13" s="233"/>
      <c r="P13" s="233"/>
      <c r="Q13" s="233"/>
      <c r="R13" s="233"/>
      <c r="S13" s="233"/>
      <c r="T13" s="233"/>
      <c r="U13" s="233"/>
      <c r="V13" s="233"/>
      <c r="W13" s="233"/>
      <c r="X13" s="233"/>
      <c r="Y13" s="233"/>
      <c r="Z13" s="233"/>
      <c r="AA13" s="233"/>
      <c r="AB13" s="233"/>
      <c r="AC13" s="233"/>
      <c r="AD13" s="233"/>
      <c r="AE13" s="233"/>
      <c r="AF13" s="233"/>
      <c r="AG13" s="233"/>
      <c r="AH13" s="233"/>
      <c r="AI13" s="233"/>
      <c r="AJ13" s="233" t="s">
        <v>113</v>
      </c>
      <c r="AK13" s="233"/>
      <c r="AL13" s="233"/>
      <c r="AM13" s="233"/>
      <c r="AN13" s="233"/>
      <c r="AO13" s="233"/>
      <c r="AP13" s="233"/>
      <c r="AQ13" s="233"/>
      <c r="AR13" s="233"/>
      <c r="AS13" s="233"/>
      <c r="AT13" s="233"/>
      <c r="AU13" s="233"/>
      <c r="AV13" s="233"/>
      <c r="AW13" s="233"/>
      <c r="AX13" s="233"/>
      <c r="AY13" s="233"/>
      <c r="AZ13" s="233"/>
      <c r="BA13" s="233"/>
      <c r="BB13" s="233"/>
      <c r="BC13" s="233"/>
      <c r="BD13" s="233"/>
      <c r="BE13" s="233"/>
      <c r="BF13" s="233"/>
      <c r="BG13" s="233"/>
      <c r="BH13" s="233" t="s">
        <v>114</v>
      </c>
      <c r="BI13" s="233"/>
      <c r="BJ13" s="233"/>
      <c r="BK13" s="233"/>
      <c r="BL13" s="233"/>
      <c r="BM13" s="233"/>
      <c r="BN13" s="233"/>
      <c r="BO13" s="233"/>
      <c r="BP13" s="233"/>
      <c r="BQ13" s="233"/>
      <c r="BR13" s="233"/>
      <c r="BS13" s="233"/>
      <c r="BT13" s="233"/>
      <c r="BU13" s="233"/>
      <c r="BV13" s="233"/>
      <c r="BW13" s="233"/>
      <c r="BX13" s="233"/>
      <c r="BY13" s="233"/>
      <c r="BZ13" s="233"/>
      <c r="CA13" s="233"/>
      <c r="CB13" s="233"/>
      <c r="CC13" s="233"/>
      <c r="CD13" s="233"/>
      <c r="CE13" s="233"/>
      <c r="CF13" s="233" t="s">
        <v>115</v>
      </c>
      <c r="CG13" s="233"/>
      <c r="CH13" s="233"/>
      <c r="CI13" s="233"/>
      <c r="CJ13" s="233"/>
      <c r="CK13" s="233"/>
      <c r="CL13" s="233"/>
      <c r="CM13" s="233"/>
      <c r="CN13" s="233"/>
      <c r="CO13" s="233"/>
      <c r="CP13" s="233"/>
      <c r="CQ13" s="233"/>
      <c r="CR13" s="233"/>
      <c r="CS13" s="233"/>
      <c r="CT13" s="233"/>
      <c r="CU13" s="233"/>
      <c r="CV13" s="233"/>
      <c r="CW13" s="233"/>
      <c r="CX13" s="233"/>
      <c r="CY13" s="233"/>
      <c r="CZ13" s="233"/>
      <c r="DA13" s="233"/>
      <c r="DB13" s="233"/>
      <c r="DC13" s="233"/>
      <c r="DD13" s="233" t="s">
        <v>116</v>
      </c>
      <c r="DE13" s="233"/>
      <c r="DF13" s="233"/>
      <c r="DG13" s="233"/>
      <c r="DH13" s="233"/>
      <c r="DI13" s="233"/>
      <c r="DJ13" s="233"/>
      <c r="DK13" s="233"/>
      <c r="DL13" s="233"/>
      <c r="DM13" s="233"/>
      <c r="DN13" s="233"/>
      <c r="DO13" s="233"/>
      <c r="DP13" s="233"/>
      <c r="DQ13" s="233"/>
      <c r="DR13" s="233"/>
      <c r="DS13" s="233"/>
      <c r="DT13" s="233"/>
      <c r="DU13" s="233"/>
      <c r="DV13" s="233"/>
      <c r="DW13" s="233"/>
      <c r="DX13" s="233"/>
      <c r="DY13" s="233"/>
      <c r="DZ13" s="233"/>
      <c r="EA13" s="233"/>
    </row>
    <row r="14" spans="2:131" x14ac:dyDescent="0.2">
      <c r="F14" s="231"/>
      <c r="G14" s="232"/>
      <c r="H14" s="232"/>
      <c r="I14" s="232"/>
      <c r="J14" s="138">
        <v>0.75</v>
      </c>
      <c r="K14" s="138">
        <v>0.25</v>
      </c>
      <c r="L14" s="224" t="s">
        <v>145</v>
      </c>
      <c r="M14" s="224"/>
      <c r="N14" s="224" t="s">
        <v>146</v>
      </c>
      <c r="O14" s="224"/>
      <c r="P14" s="224" t="s">
        <v>147</v>
      </c>
      <c r="Q14" s="224"/>
      <c r="R14" s="224" t="s">
        <v>148</v>
      </c>
      <c r="S14" s="224"/>
      <c r="T14" s="224" t="s">
        <v>149</v>
      </c>
      <c r="U14" s="224"/>
      <c r="V14" s="224" t="s">
        <v>150</v>
      </c>
      <c r="W14" s="224"/>
      <c r="X14" s="224" t="s">
        <v>151</v>
      </c>
      <c r="Y14" s="224"/>
      <c r="Z14" s="224" t="s">
        <v>256</v>
      </c>
      <c r="AA14" s="224"/>
      <c r="AB14" s="224" t="s">
        <v>153</v>
      </c>
      <c r="AC14" s="224"/>
      <c r="AD14" s="224" t="s">
        <v>154</v>
      </c>
      <c r="AE14" s="224"/>
      <c r="AF14" s="224" t="s">
        <v>155</v>
      </c>
      <c r="AG14" s="224"/>
      <c r="AH14" s="224" t="s">
        <v>257</v>
      </c>
      <c r="AI14" s="224"/>
      <c r="AJ14" s="224" t="s">
        <v>145</v>
      </c>
      <c r="AK14" s="224"/>
      <c r="AL14" s="224" t="s">
        <v>146</v>
      </c>
      <c r="AM14" s="224"/>
      <c r="AN14" s="224" t="s">
        <v>147</v>
      </c>
      <c r="AO14" s="224"/>
      <c r="AP14" s="224" t="s">
        <v>148</v>
      </c>
      <c r="AQ14" s="224"/>
      <c r="AR14" s="224" t="s">
        <v>149</v>
      </c>
      <c r="AS14" s="224"/>
      <c r="AT14" s="224" t="s">
        <v>150</v>
      </c>
      <c r="AU14" s="224"/>
      <c r="AV14" s="224" t="s">
        <v>151</v>
      </c>
      <c r="AW14" s="224"/>
      <c r="AX14" s="224" t="s">
        <v>256</v>
      </c>
      <c r="AY14" s="224"/>
      <c r="AZ14" s="224" t="s">
        <v>153</v>
      </c>
      <c r="BA14" s="224"/>
      <c r="BB14" s="224" t="s">
        <v>154</v>
      </c>
      <c r="BC14" s="224"/>
      <c r="BD14" s="224" t="s">
        <v>155</v>
      </c>
      <c r="BE14" s="224"/>
      <c r="BF14" s="224" t="s">
        <v>257</v>
      </c>
      <c r="BG14" s="224"/>
      <c r="BH14" s="224" t="s">
        <v>145</v>
      </c>
      <c r="BI14" s="224"/>
      <c r="BJ14" s="224" t="s">
        <v>146</v>
      </c>
      <c r="BK14" s="224"/>
      <c r="BL14" s="224" t="s">
        <v>147</v>
      </c>
      <c r="BM14" s="224"/>
      <c r="BN14" s="224" t="s">
        <v>148</v>
      </c>
      <c r="BO14" s="224"/>
      <c r="BP14" s="224" t="s">
        <v>149</v>
      </c>
      <c r="BQ14" s="224"/>
      <c r="BR14" s="224" t="s">
        <v>150</v>
      </c>
      <c r="BS14" s="224"/>
      <c r="BT14" s="224" t="s">
        <v>151</v>
      </c>
      <c r="BU14" s="224"/>
      <c r="BV14" s="224" t="s">
        <v>256</v>
      </c>
      <c r="BW14" s="224"/>
      <c r="BX14" s="224" t="s">
        <v>153</v>
      </c>
      <c r="BY14" s="224"/>
      <c r="BZ14" s="224" t="s">
        <v>154</v>
      </c>
      <c r="CA14" s="224"/>
      <c r="CB14" s="224" t="s">
        <v>155</v>
      </c>
      <c r="CC14" s="224"/>
      <c r="CD14" s="224" t="s">
        <v>257</v>
      </c>
      <c r="CE14" s="224"/>
      <c r="CF14" s="224" t="s">
        <v>145</v>
      </c>
      <c r="CG14" s="224"/>
      <c r="CH14" s="224" t="s">
        <v>146</v>
      </c>
      <c r="CI14" s="224"/>
      <c r="CJ14" s="224" t="s">
        <v>147</v>
      </c>
      <c r="CK14" s="224"/>
      <c r="CL14" s="224" t="s">
        <v>148</v>
      </c>
      <c r="CM14" s="224"/>
      <c r="CN14" s="224" t="s">
        <v>149</v>
      </c>
      <c r="CO14" s="224"/>
      <c r="CP14" s="224" t="s">
        <v>150</v>
      </c>
      <c r="CQ14" s="224"/>
      <c r="CR14" s="224" t="s">
        <v>151</v>
      </c>
      <c r="CS14" s="224"/>
      <c r="CT14" s="224" t="s">
        <v>256</v>
      </c>
      <c r="CU14" s="224"/>
      <c r="CV14" s="224" t="s">
        <v>153</v>
      </c>
      <c r="CW14" s="224"/>
      <c r="CX14" s="224" t="s">
        <v>154</v>
      </c>
      <c r="CY14" s="224"/>
      <c r="CZ14" s="224" t="s">
        <v>155</v>
      </c>
      <c r="DA14" s="224"/>
      <c r="DB14" s="224" t="s">
        <v>257</v>
      </c>
      <c r="DC14" s="224"/>
      <c r="DD14" s="224" t="s">
        <v>145</v>
      </c>
      <c r="DE14" s="224"/>
      <c r="DF14" s="224" t="s">
        <v>146</v>
      </c>
      <c r="DG14" s="224"/>
      <c r="DH14" s="224" t="s">
        <v>147</v>
      </c>
      <c r="DI14" s="224"/>
      <c r="DJ14" s="224" t="s">
        <v>148</v>
      </c>
      <c r="DK14" s="224"/>
      <c r="DL14" s="224" t="s">
        <v>149</v>
      </c>
      <c r="DM14" s="224"/>
      <c r="DN14" s="224" t="s">
        <v>150</v>
      </c>
      <c r="DO14" s="224"/>
      <c r="DP14" s="224" t="s">
        <v>151</v>
      </c>
      <c r="DQ14" s="224"/>
      <c r="DR14" s="224" t="s">
        <v>256</v>
      </c>
      <c r="DS14" s="224"/>
      <c r="DT14" s="224" t="s">
        <v>153</v>
      </c>
      <c r="DU14" s="224"/>
      <c r="DV14" s="224" t="s">
        <v>154</v>
      </c>
      <c r="DW14" s="224"/>
      <c r="DX14" s="224" t="s">
        <v>155</v>
      </c>
      <c r="DY14" s="224"/>
      <c r="DZ14" s="224" t="s">
        <v>257</v>
      </c>
      <c r="EA14" s="224"/>
    </row>
    <row r="15" spans="2:131" ht="16" x14ac:dyDescent="0.2">
      <c r="B15" s="139"/>
      <c r="F15" s="57" t="s">
        <v>259</v>
      </c>
      <c r="G15" s="57">
        <v>30</v>
      </c>
      <c r="H15" s="131">
        <f>G15*8</f>
        <v>240</v>
      </c>
      <c r="I15" s="131">
        <f t="shared" ref="I15:K17" si="0">I6</f>
        <v>7200</v>
      </c>
      <c r="J15" s="131">
        <f t="shared" si="0"/>
        <v>5400</v>
      </c>
      <c r="K15" s="131">
        <f t="shared" si="0"/>
        <v>1800</v>
      </c>
      <c r="L15" s="11">
        <f>L6*J4*H11*G20</f>
        <v>769.5</v>
      </c>
      <c r="M15" s="11">
        <f>L6*K4*H10*G20</f>
        <v>598.5</v>
      </c>
      <c r="N15" s="11">
        <f>N6*J4*H11*G20</f>
        <v>1539</v>
      </c>
      <c r="O15" s="11">
        <f>N6*K4*H10*G20</f>
        <v>1197</v>
      </c>
      <c r="P15" s="11">
        <f>P6*J4*H11*G20</f>
        <v>2308.5</v>
      </c>
      <c r="Q15" s="11">
        <f>P6*K4*H10*G20</f>
        <v>1795.5</v>
      </c>
      <c r="R15" s="11">
        <f>R6*J4*H11*G20</f>
        <v>3847.5</v>
      </c>
      <c r="S15" s="11">
        <f>R6*K4*H10*G20</f>
        <v>2992.5</v>
      </c>
      <c r="T15" s="11">
        <f>T6*J4*H11*G20</f>
        <v>5386.5</v>
      </c>
      <c r="U15" s="11">
        <f>T6*K4*H10*G20</f>
        <v>4189.5</v>
      </c>
      <c r="V15" s="11">
        <f>V6*J4*H11*G20</f>
        <v>6540.75</v>
      </c>
      <c r="W15" s="11">
        <f>V6*K4*H10*G20</f>
        <v>5087.25</v>
      </c>
      <c r="X15" s="11">
        <f>X6*J4*H11*G20</f>
        <v>7695</v>
      </c>
      <c r="Y15" s="11">
        <f>X6*K4*H10*G20</f>
        <v>5985</v>
      </c>
      <c r="Z15" s="11">
        <f>Z6*J4*H11*G20</f>
        <v>7695</v>
      </c>
      <c r="AA15" s="11">
        <f>Z6*K4*H10*G20</f>
        <v>5985</v>
      </c>
      <c r="AB15" s="11">
        <f>AB6*J4*H11*G20</f>
        <v>7695</v>
      </c>
      <c r="AC15" s="11">
        <f>AB6*K4*H10*G20</f>
        <v>5985</v>
      </c>
      <c r="AD15" s="11">
        <f>AD6*J4*H11*G20</f>
        <v>7695</v>
      </c>
      <c r="AE15" s="11">
        <f>AD6*K4*H10*G20</f>
        <v>5985</v>
      </c>
      <c r="AF15" s="11">
        <f>AF6*J4*H11*G20</f>
        <v>7695</v>
      </c>
      <c r="AG15" s="11">
        <f>AF6*K4*H10*G20</f>
        <v>5985</v>
      </c>
      <c r="AH15" s="11">
        <f>AH6*J4*H11*G20</f>
        <v>7695</v>
      </c>
      <c r="AI15" s="11">
        <f>AH6*K4*H10*G20</f>
        <v>5985</v>
      </c>
      <c r="AJ15" s="11">
        <f>AJ6*$J$4*$H$11*$G$20</f>
        <v>8849.25</v>
      </c>
      <c r="AK15" s="11">
        <f>AJ6*$K$4*$H$10*$G$20</f>
        <v>6882.75</v>
      </c>
      <c r="AL15" s="11">
        <f>AL6*$J$4*$H$11*$G$20</f>
        <v>8849.25</v>
      </c>
      <c r="AM15" s="11">
        <f>AL6*$K$4*$H$10*$G$20</f>
        <v>6882.75</v>
      </c>
      <c r="AN15" s="11">
        <f>AN6*$J$4*$H$11*$G$20</f>
        <v>8849.25</v>
      </c>
      <c r="AO15" s="11">
        <f>AN6*$K$4*$H$10*$G$20</f>
        <v>6882.75</v>
      </c>
      <c r="AP15" s="11">
        <f>AP6*$J$4*$H$11*$G$20</f>
        <v>8849.25</v>
      </c>
      <c r="AQ15" s="11">
        <f>AP6*$K$4*$H$10*$G$20</f>
        <v>6882.75</v>
      </c>
      <c r="AR15" s="11">
        <f>AR6*$J$4*$H$11*$G$20</f>
        <v>8849.25</v>
      </c>
      <c r="AS15" s="11">
        <f>AR6*$K$4*$H$10*$G$20</f>
        <v>6882.75</v>
      </c>
      <c r="AT15" s="11">
        <f>AT6*$J$4*$H$11*$G$20</f>
        <v>8849.25</v>
      </c>
      <c r="AU15" s="11">
        <f>AT6*$K$4*$H$10*$G$20</f>
        <v>6882.75</v>
      </c>
      <c r="AV15" s="11">
        <f>AV6*$J$4*$H$11*$G$20</f>
        <v>8849.25</v>
      </c>
      <c r="AW15" s="11">
        <f>AV6*$K$4*$H$10*$G$20</f>
        <v>6882.75</v>
      </c>
      <c r="AX15" s="11">
        <f>AX6*$J$4*$H$11*$G$20</f>
        <v>8849.25</v>
      </c>
      <c r="AY15" s="11">
        <f>AX6*$K$4*$H$10*$G$20</f>
        <v>6882.75</v>
      </c>
      <c r="AZ15" s="11">
        <f>AZ6*$J$4*$H$11*$G$20</f>
        <v>8849.25</v>
      </c>
      <c r="BA15" s="11">
        <f>AZ6*$K$4*$H$10*$G$20</f>
        <v>6882.75</v>
      </c>
      <c r="BB15" s="11">
        <f>BB6*$J$4*$H$11*$G$20</f>
        <v>8849.25</v>
      </c>
      <c r="BC15" s="11">
        <f>BB6*$K$4*$H$10*$G$20</f>
        <v>6882.75</v>
      </c>
      <c r="BD15" s="11">
        <f>BD6*$J$4*$H$11*$G$20</f>
        <v>8849.25</v>
      </c>
      <c r="BE15" s="11">
        <f>BD6*$K$4*$H$10*$G$20</f>
        <v>6882.75</v>
      </c>
      <c r="BF15" s="11">
        <f>BF6*$J$4*$H$11*$G$20</f>
        <v>8849.25</v>
      </c>
      <c r="BG15" s="11">
        <f>BF6*$K$4*$H$10*$G$20</f>
        <v>6882.75</v>
      </c>
      <c r="BH15" s="11">
        <f>BH6*$J$4*$H$11*$G$20</f>
        <v>10003.5</v>
      </c>
      <c r="BI15" s="11">
        <f>BH6*$K$4*$H$10*$G$20</f>
        <v>7780.5</v>
      </c>
      <c r="BJ15" s="11">
        <f>BJ6*$J$4*$H$11*$G$20</f>
        <v>10003.5</v>
      </c>
      <c r="BK15" s="11">
        <f>BJ6*$K$4*$H$10*$G$20</f>
        <v>7780.5</v>
      </c>
      <c r="BL15" s="11">
        <f>BL6*$J$4*$H$11*$G$20</f>
        <v>10003.5</v>
      </c>
      <c r="BM15" s="11">
        <f>BL6*$K$4*$H$10*$G$20</f>
        <v>7780.5</v>
      </c>
      <c r="BN15" s="11">
        <f>BN6*$J$4*$H$11*$G$20</f>
        <v>10003.5</v>
      </c>
      <c r="BO15" s="11">
        <f>BN6*$K$4*$H$10*$G$20</f>
        <v>7780.5</v>
      </c>
      <c r="BP15" s="11">
        <f>BP6*$J$4*$H$11*$G$20</f>
        <v>10003.5</v>
      </c>
      <c r="BQ15" s="11">
        <f>BP6*$K$4*$H$10*$G$20</f>
        <v>7780.5</v>
      </c>
      <c r="BR15" s="11">
        <f>BR6*$J$4*$H$11*$G$20</f>
        <v>10003.5</v>
      </c>
      <c r="BS15" s="11">
        <f>BR6*$K$4*$H$10*$G$20</f>
        <v>7780.5</v>
      </c>
      <c r="BT15" s="11">
        <f>BT6*$J$4*$H$11*$G$20</f>
        <v>10003.5</v>
      </c>
      <c r="BU15" s="11">
        <f>BT6*$K$4*$H$10*$G$20</f>
        <v>7780.5</v>
      </c>
      <c r="BV15" s="11">
        <f>BV6*$J$4*$H$11*$G$20</f>
        <v>10003.5</v>
      </c>
      <c r="BW15" s="11">
        <f>BV6*$K$4*$H$10*$G$20</f>
        <v>7780.5</v>
      </c>
      <c r="BX15" s="11">
        <f>BX6*$J$4*$H$11*$G$20</f>
        <v>10003.5</v>
      </c>
      <c r="BY15" s="11">
        <f>BX6*$K$4*$H$10*$G$20</f>
        <v>7780.5</v>
      </c>
      <c r="BZ15" s="11">
        <f>BZ6*$J$4*$H$11*$G$20</f>
        <v>10003.5</v>
      </c>
      <c r="CA15" s="11">
        <f>BZ6*$K$4*$H$10*$G$20</f>
        <v>7780.5</v>
      </c>
      <c r="CB15" s="11">
        <f>CB6*$J$4*$H$11*$G$20</f>
        <v>10003.5</v>
      </c>
      <c r="CC15" s="11">
        <f>CB6*$K$4*$H$10*$G$20</f>
        <v>7780.5</v>
      </c>
      <c r="CD15" s="11">
        <f>CD6*$J$4*$H$11*$G$20</f>
        <v>10003.5</v>
      </c>
      <c r="CE15" s="11">
        <f>CD6*$K$4*$H$10*$G$20</f>
        <v>7780.5</v>
      </c>
      <c r="CF15" s="11">
        <f>CF6*$J$4*$H$11*$G$20</f>
        <v>11157.75</v>
      </c>
      <c r="CG15" s="11">
        <f>CF6*$K$4*$H$10*$G$20</f>
        <v>8678.25</v>
      </c>
      <c r="CH15" s="11">
        <f>CH6*$J$4*$H$11*$G$20</f>
        <v>11157.75</v>
      </c>
      <c r="CI15" s="11">
        <f>CH6*$K$4*$H$10*$G$20</f>
        <v>8678.25</v>
      </c>
      <c r="CJ15" s="11">
        <f>CJ6*$J$4*$H$11*$G$20</f>
        <v>11157.75</v>
      </c>
      <c r="CK15" s="11">
        <f>CJ6*$K$4*$H$10*$G$20</f>
        <v>8678.25</v>
      </c>
      <c r="CL15" s="11">
        <f>CL6*$J$4*$H$11*$G$20</f>
        <v>11157.75</v>
      </c>
      <c r="CM15" s="11">
        <f>CL6*$K$4*$H$10*$G$20</f>
        <v>8678.25</v>
      </c>
      <c r="CN15" s="11">
        <f>CN6*$J$4*$H$11*$G$20</f>
        <v>11157.75</v>
      </c>
      <c r="CO15" s="11">
        <f>CN6*$K$4*$H$10*$G$20</f>
        <v>8678.25</v>
      </c>
      <c r="CP15" s="11">
        <f>CP6*$J$4*$H$11*$G$20</f>
        <v>11157.75</v>
      </c>
      <c r="CQ15" s="11">
        <f>CP6*$K$4*$H$10*$G$20</f>
        <v>8678.25</v>
      </c>
      <c r="CR15" s="11">
        <f>CR6*$J$4*$H$11*$G$20</f>
        <v>11157.75</v>
      </c>
      <c r="CS15" s="11">
        <f>CR6*$K$4*$H$10*$G$20</f>
        <v>8678.25</v>
      </c>
      <c r="CT15" s="11">
        <f>CT6*$J$4*$H$11*$G$20</f>
        <v>11157.75</v>
      </c>
      <c r="CU15" s="11">
        <f>CT6*$K$4*$H$10*$G$20</f>
        <v>8678.25</v>
      </c>
      <c r="CV15" s="11">
        <f>CV6*$J$4*$H$11*$G$20</f>
        <v>11157.75</v>
      </c>
      <c r="CW15" s="11">
        <f>CV6*$K$4*$H$10*$G$20</f>
        <v>8678.25</v>
      </c>
      <c r="CX15" s="11">
        <f>CX6*$J$4*$H$11*$G$20</f>
        <v>11157.75</v>
      </c>
      <c r="CY15" s="11">
        <f>CX6*$K$4*$H$10*$G$20</f>
        <v>8678.25</v>
      </c>
      <c r="CZ15" s="11">
        <f>CZ6*$J$4*$H$11*$G$20</f>
        <v>11157.75</v>
      </c>
      <c r="DA15" s="11">
        <f>CZ6*$K$4*$H$10*$G$20</f>
        <v>8678.25</v>
      </c>
      <c r="DB15" s="11">
        <f>DB6*$J$4*$H$11*$G$20</f>
        <v>11157.75</v>
      </c>
      <c r="DC15" s="11">
        <f>DB6*$K$4*$H$10*$G$20</f>
        <v>8678.25</v>
      </c>
      <c r="DD15" s="11">
        <f>DD6*$J$4*$H$11*$G$20</f>
        <v>12312</v>
      </c>
      <c r="DE15" s="11">
        <f>DD6*$K$4*$H$10*$G$20</f>
        <v>9576</v>
      </c>
      <c r="DF15" s="11">
        <f>DF6*$J$4*$H$11*$G$20</f>
        <v>12312</v>
      </c>
      <c r="DG15" s="11">
        <f>DF6*$K$4*$H$10*$G$20</f>
        <v>9576</v>
      </c>
      <c r="DH15" s="11">
        <f>DH6*$J$4*$H$11*$G$20</f>
        <v>12312</v>
      </c>
      <c r="DI15" s="11">
        <f>DH6*$K$4*$H$10*$G$20</f>
        <v>9576</v>
      </c>
      <c r="DJ15" s="11">
        <f>DJ6*$J$4*$H$11*$G$20</f>
        <v>12312</v>
      </c>
      <c r="DK15" s="11">
        <f>DJ6*$K$4*$H$10*$G$20</f>
        <v>9576</v>
      </c>
      <c r="DL15" s="11">
        <f>DL6*$J$4*$H$11*$G$20</f>
        <v>12312</v>
      </c>
      <c r="DM15" s="11">
        <f>DL6*$K$4*$H$10*$G$20</f>
        <v>9576</v>
      </c>
      <c r="DN15" s="11">
        <f>DN6*$J$4*$H$11*$G$20</f>
        <v>12312</v>
      </c>
      <c r="DO15" s="11">
        <f>DN6*$K$4*$H$10*$G$20</f>
        <v>9576</v>
      </c>
      <c r="DP15" s="11">
        <f>DP6*$J$4*$H$11*$G$20</f>
        <v>12312</v>
      </c>
      <c r="DQ15" s="11">
        <f>DP6*$K$4*$H$10*$G$20</f>
        <v>9576</v>
      </c>
      <c r="DR15" s="11">
        <f>DR6*$J$4*$H$11*$G$20</f>
        <v>12312</v>
      </c>
      <c r="DS15" s="11">
        <f>DR6*$K$4*$H$10*$G$20</f>
        <v>9576</v>
      </c>
      <c r="DT15" s="11">
        <f>DT6*$J$4*$H$11*$G$20</f>
        <v>12312</v>
      </c>
      <c r="DU15" s="11">
        <f>DT6*$K$4*$H$10*$G$20</f>
        <v>9576</v>
      </c>
      <c r="DV15" s="11">
        <f>DV6*$J$4*$H$11*$G$20</f>
        <v>12312</v>
      </c>
      <c r="DW15" s="11">
        <f>DV6*$K$4*$H$10*$G$20</f>
        <v>9576</v>
      </c>
      <c r="DX15" s="11">
        <f>DX6*$J$4*$H$11*$G$20</f>
        <v>12312</v>
      </c>
      <c r="DY15" s="140">
        <f>DX6*$K$4*$H$10*$G$20</f>
        <v>9576</v>
      </c>
      <c r="DZ15" s="11">
        <f>DZ6*$J$4*$H$11*$G$20</f>
        <v>12312</v>
      </c>
      <c r="EA15" s="131">
        <f>DZ6*$K$4*$H$10*$G$20</f>
        <v>9576</v>
      </c>
    </row>
    <row r="16" spans="2:131" ht="16" x14ac:dyDescent="0.2">
      <c r="B16" s="139"/>
      <c r="F16" s="57" t="s">
        <v>260</v>
      </c>
      <c r="G16" s="57">
        <v>15</v>
      </c>
      <c r="H16" s="131">
        <f>G16*8</f>
        <v>120</v>
      </c>
      <c r="I16" s="131">
        <f t="shared" si="0"/>
        <v>3600</v>
      </c>
      <c r="J16" s="131">
        <f t="shared" si="0"/>
        <v>2700</v>
      </c>
      <c r="K16" s="131">
        <f t="shared" si="0"/>
        <v>900</v>
      </c>
      <c r="L16" s="11">
        <f>L7*J4*H11*G20</f>
        <v>384.75</v>
      </c>
      <c r="M16" s="11">
        <f>L7*K4*H10*G20</f>
        <v>299.25</v>
      </c>
      <c r="N16" s="11">
        <f>N7*J4*H11*G20</f>
        <v>769.5</v>
      </c>
      <c r="O16" s="11">
        <f>N7*K4*H10*G20</f>
        <v>598.5</v>
      </c>
      <c r="P16" s="11">
        <f>P7*J4*H11*G20</f>
        <v>1154.25</v>
      </c>
      <c r="Q16" s="11">
        <f>P7*K4*H10*G20</f>
        <v>897.75</v>
      </c>
      <c r="R16" s="11">
        <f>R7*J4*H11*G20</f>
        <v>1923.75</v>
      </c>
      <c r="S16" s="11">
        <f>R7*K4*H10*G20</f>
        <v>1496.25</v>
      </c>
      <c r="T16" s="11">
        <f>T7*J4*H11*G20</f>
        <v>2693.25</v>
      </c>
      <c r="U16" s="11">
        <f>T7*K4*H10*G20</f>
        <v>2094.75</v>
      </c>
      <c r="V16" s="11">
        <f>V7*J4*H11*G20</f>
        <v>3270.375</v>
      </c>
      <c r="W16" s="11">
        <f>V7*K4*H10*G20</f>
        <v>2543.625</v>
      </c>
      <c r="X16" s="11">
        <f>X7*J4*H11*G20</f>
        <v>3847.5</v>
      </c>
      <c r="Y16" s="11">
        <f>X7*K4*H10*G20</f>
        <v>2992.5</v>
      </c>
      <c r="Z16" s="11">
        <f>Z7*J4*H11*G20</f>
        <v>3847.5</v>
      </c>
      <c r="AA16" s="11">
        <f>Z7*K4*H10*G20</f>
        <v>2992.5</v>
      </c>
      <c r="AB16" s="11">
        <f>AB7*J4*H11*G20</f>
        <v>3847.5</v>
      </c>
      <c r="AC16" s="11">
        <f>AB7*K4*H10*G20</f>
        <v>2992.5</v>
      </c>
      <c r="AD16" s="11">
        <f>AD7*J4*H11*G20</f>
        <v>3847.5</v>
      </c>
      <c r="AE16" s="11">
        <f>AD7*K4*H10*G20</f>
        <v>2992.5</v>
      </c>
      <c r="AF16" s="11">
        <f>AF7*J4*H11*G20</f>
        <v>3847.5</v>
      </c>
      <c r="AG16" s="11">
        <f>AF7*K4*H10*G20</f>
        <v>2992.5</v>
      </c>
      <c r="AH16" s="11">
        <f>AH7*J4*H11*G20</f>
        <v>3847.5</v>
      </c>
      <c r="AI16" s="11">
        <f>AH7*K4*H10*G20</f>
        <v>2992.5</v>
      </c>
      <c r="AJ16" s="11">
        <f>AJ7*$J$4*$H$11*$G$20</f>
        <v>4424.625</v>
      </c>
      <c r="AK16" s="11">
        <f>AJ7*$K$4*$H$10*$G$20</f>
        <v>3441.375</v>
      </c>
      <c r="AL16" s="11">
        <f>AL7*$J$4*$H$11*$G$20</f>
        <v>4424.625</v>
      </c>
      <c r="AM16" s="11">
        <f>AL7*$K$4*$H$10*$G$20</f>
        <v>3441.375</v>
      </c>
      <c r="AN16" s="11">
        <f>AN7*$J$4*$H$11*$G$20</f>
        <v>4424.625</v>
      </c>
      <c r="AO16" s="11">
        <f>AN7*$K$4*$H$10*$G$20</f>
        <v>3441.375</v>
      </c>
      <c r="AP16" s="11">
        <f>AP7*$J$4*$H$11*$G$20</f>
        <v>4424.625</v>
      </c>
      <c r="AQ16" s="11">
        <f>AP7*$K$4*$H$10*$G$20</f>
        <v>3441.375</v>
      </c>
      <c r="AR16" s="11">
        <f>AR7*$J$4*$H$11*$G$20</f>
        <v>4424.625</v>
      </c>
      <c r="AS16" s="11">
        <f>AR7*$K$4*$H$10*$G$20</f>
        <v>3441.375</v>
      </c>
      <c r="AT16" s="11">
        <f>AT7*$J$4*$H$11*$G$20</f>
        <v>4424.625</v>
      </c>
      <c r="AU16" s="11">
        <f>AT7*$K$4*$H$10*$G$20</f>
        <v>3441.375</v>
      </c>
      <c r="AV16" s="11">
        <f>AV7*$J$4*$H$11*$G$20</f>
        <v>4424.625</v>
      </c>
      <c r="AW16" s="11">
        <f>AV7*$K$4*$H$10*$G$20</f>
        <v>3441.375</v>
      </c>
      <c r="AX16" s="11">
        <f>AX7*$J$4*$H$11*$G$20</f>
        <v>4424.625</v>
      </c>
      <c r="AY16" s="11">
        <f>AX7*$K$4*$H$10*$G$20</f>
        <v>3441.375</v>
      </c>
      <c r="AZ16" s="11">
        <f>AZ7*$J$4*$H$11*$G$20</f>
        <v>4424.625</v>
      </c>
      <c r="BA16" s="11">
        <f>AZ7*$K$4*$H$10*$G$20</f>
        <v>3441.375</v>
      </c>
      <c r="BB16" s="11">
        <f>BB7*$J$4*$H$11*$G$20</f>
        <v>4424.625</v>
      </c>
      <c r="BC16" s="11">
        <f>BB7*$K$4*$H$10*$G$20</f>
        <v>3441.375</v>
      </c>
      <c r="BD16" s="11">
        <f>BD7*$J$4*$H$11*$G$20</f>
        <v>4424.625</v>
      </c>
      <c r="BE16" s="11">
        <f>BD7*$K$4*$H$10*$G$20</f>
        <v>3441.375</v>
      </c>
      <c r="BF16" s="11">
        <f>BF7*$J$4*$H$11*$G$20</f>
        <v>4424.625</v>
      </c>
      <c r="BG16" s="11">
        <f>BF7*$K$4*$H$10*$G$20</f>
        <v>3441.375</v>
      </c>
      <c r="BH16" s="11">
        <f>BH7*$J$4*$H$11*$G$20</f>
        <v>5001.75</v>
      </c>
      <c r="BI16" s="11">
        <f>BH7*$K$4*$H$10*$G$20</f>
        <v>3890.25</v>
      </c>
      <c r="BJ16" s="11">
        <f>BJ7*$J$4*$H$11*$G$20</f>
        <v>5001.75</v>
      </c>
      <c r="BK16" s="11">
        <f>BJ7*$K$4*$H$10*$G$20</f>
        <v>3890.25</v>
      </c>
      <c r="BL16" s="11">
        <f>BL7*$J$4*$H$11*$G$20</f>
        <v>5001.75</v>
      </c>
      <c r="BM16" s="11">
        <f>BL7*$K$4*$H$10*$G$20</f>
        <v>3890.25</v>
      </c>
      <c r="BN16" s="11">
        <f>BN7*$J$4*$H$11*$G$20</f>
        <v>5001.75</v>
      </c>
      <c r="BO16" s="11">
        <f>BN7*$K$4*$H$10*$G$20</f>
        <v>3890.25</v>
      </c>
      <c r="BP16" s="11">
        <f>BP7*$J$4*$H$11*$G$20</f>
        <v>5001.75</v>
      </c>
      <c r="BQ16" s="11">
        <f>BP7*$K$4*$H$10*$G$20</f>
        <v>3890.25</v>
      </c>
      <c r="BR16" s="11">
        <f>BR7*$J$4*$H$11*$G$20</f>
        <v>5001.75</v>
      </c>
      <c r="BS16" s="11">
        <f>BR7*$K$4*$H$10*$G$20</f>
        <v>3890.25</v>
      </c>
      <c r="BT16" s="11">
        <f>BT7*$J$4*$H$11*$G$20</f>
        <v>5001.75</v>
      </c>
      <c r="BU16" s="11">
        <f>BT7*$K$4*$H$10*$G$20</f>
        <v>3890.25</v>
      </c>
      <c r="BV16" s="11">
        <f>BV7*$J$4*$H$11*$G$20</f>
        <v>5001.75</v>
      </c>
      <c r="BW16" s="11">
        <f>BV7*$K$4*$H$10*$G$20</f>
        <v>3890.25</v>
      </c>
      <c r="BX16" s="11">
        <f>BX7*$J$4*$H$11*$G$20</f>
        <v>5001.75</v>
      </c>
      <c r="BY16" s="11">
        <f>BX7*$K$4*$H$10*$G$20</f>
        <v>3890.25</v>
      </c>
      <c r="BZ16" s="11">
        <f>BZ7*$J$4*$H$11*$G$20</f>
        <v>5001.75</v>
      </c>
      <c r="CA16" s="11">
        <f>BZ7*$K$4*$H$10*$G$20</f>
        <v>3890.25</v>
      </c>
      <c r="CB16" s="11">
        <f>CB7*$J$4*$H$11*$G$20</f>
        <v>5001.75</v>
      </c>
      <c r="CC16" s="11">
        <f>CB7*$K$4*$H$10*$G$20</f>
        <v>3890.25</v>
      </c>
      <c r="CD16" s="11">
        <f>CD7*$J$4*$H$11*$G$20</f>
        <v>5001.75</v>
      </c>
      <c r="CE16" s="11">
        <f>CD7*$K$4*$H$10*$G$20</f>
        <v>3890.25</v>
      </c>
      <c r="CF16" s="11">
        <f>CF7*$J$4*$H$11*$G$20</f>
        <v>5578.875</v>
      </c>
      <c r="CG16" s="11">
        <f>CF7*$K$4*$H$10*$G$20</f>
        <v>4339.125</v>
      </c>
      <c r="CH16" s="11">
        <f>CH7*$J$4*$H$11*$G$20</f>
        <v>5578.875</v>
      </c>
      <c r="CI16" s="11">
        <f>CH7*$K$4*$H$10*$G$20</f>
        <v>4339.125</v>
      </c>
      <c r="CJ16" s="11">
        <f>CJ7*$J$4*$H$11*$G$20</f>
        <v>5578.875</v>
      </c>
      <c r="CK16" s="11">
        <f>CJ7*$K$4*$H$10*$G$20</f>
        <v>4339.125</v>
      </c>
      <c r="CL16" s="11">
        <f>CL7*$J$4*$H$11*$G$20</f>
        <v>5578.875</v>
      </c>
      <c r="CM16" s="11">
        <f>CL7*$K$4*$H$10*$G$20</f>
        <v>4339.125</v>
      </c>
      <c r="CN16" s="11">
        <f>CN7*$J$4*$H$11*$G$20</f>
        <v>5578.875</v>
      </c>
      <c r="CO16" s="11">
        <f>CN7*$K$4*$H$10*$G$20</f>
        <v>4339.125</v>
      </c>
      <c r="CP16" s="11">
        <f>CP7*$J$4*$H$11*$G$20</f>
        <v>5578.875</v>
      </c>
      <c r="CQ16" s="11">
        <f>CP7*$K$4*$H$10*$G$20</f>
        <v>4339.125</v>
      </c>
      <c r="CR16" s="11">
        <f>CR7*$J$4*$H$11*$G$20</f>
        <v>5578.875</v>
      </c>
      <c r="CS16" s="11">
        <f>CR7*$K$4*$H$10*$G$20</f>
        <v>4339.125</v>
      </c>
      <c r="CT16" s="11">
        <f>CT7*$J$4*$H$11*$G$20</f>
        <v>5578.875</v>
      </c>
      <c r="CU16" s="11">
        <f>CT7*$K$4*$H$10*$G$20</f>
        <v>4339.125</v>
      </c>
      <c r="CV16" s="11">
        <f>CV7*$J$4*$H$11*$G$20</f>
        <v>5578.875</v>
      </c>
      <c r="CW16" s="11">
        <f>CV7*$K$4*$H$10*$G$20</f>
        <v>4339.125</v>
      </c>
      <c r="CX16" s="11">
        <f>CX7*$J$4*$H$11*$G$20</f>
        <v>5578.875</v>
      </c>
      <c r="CY16" s="11">
        <f>CX7*$K$4*$H$10*$G$20</f>
        <v>4339.125</v>
      </c>
      <c r="CZ16" s="11">
        <f>CZ7*$J$4*$H$11*$G$20</f>
        <v>5578.875</v>
      </c>
      <c r="DA16" s="11">
        <f>CZ7*$K$4*$H$10*$G$20</f>
        <v>4339.125</v>
      </c>
      <c r="DB16" s="11">
        <f>DB7*$J$4*$H$11*$G$20</f>
        <v>5578.875</v>
      </c>
      <c r="DC16" s="11">
        <f>DB7*$K$4*$H$10*$G$20</f>
        <v>4339.125</v>
      </c>
      <c r="DD16" s="11">
        <f>DD7*$J$4*$H$11*$G$20</f>
        <v>6156</v>
      </c>
      <c r="DE16" s="11">
        <f>DD7*$K$4*$H$10*$G$20</f>
        <v>4788</v>
      </c>
      <c r="DF16" s="11">
        <f>DF7*$J$4*$H$11*$G$20</f>
        <v>6156</v>
      </c>
      <c r="DG16" s="11">
        <f>DF7*$K$4*$H$10*$G$20</f>
        <v>4788</v>
      </c>
      <c r="DH16" s="11">
        <f>DH7*$J$4*$H$11*$G$20</f>
        <v>6156</v>
      </c>
      <c r="DI16" s="11">
        <f>DH7*$K$4*$H$10*$G$20</f>
        <v>4788</v>
      </c>
      <c r="DJ16" s="11">
        <f>DJ7*$J$4*$H$11*$G$20</f>
        <v>6156</v>
      </c>
      <c r="DK16" s="11">
        <f>DJ7*$K$4*$H$10*$G$20</f>
        <v>4788</v>
      </c>
      <c r="DL16" s="11">
        <f>DL7*$J$4*$H$11*$G$20</f>
        <v>6156</v>
      </c>
      <c r="DM16" s="11">
        <f>DL7*$K$4*$H$10*$G$20</f>
        <v>4788</v>
      </c>
      <c r="DN16" s="11">
        <f>DN7*$J$4*$H$11*$G$20</f>
        <v>6156</v>
      </c>
      <c r="DO16" s="11">
        <f>DN7*$K$4*$H$10*$G$20</f>
        <v>4788</v>
      </c>
      <c r="DP16" s="11">
        <f>DP7*$J$4*$H$11*$G$20</f>
        <v>6156</v>
      </c>
      <c r="DQ16" s="11">
        <f>DP7*$K$4*$H$10*$G$20</f>
        <v>4788</v>
      </c>
      <c r="DR16" s="11">
        <f>DR7*$J$4*$H$11*$G$20</f>
        <v>6156</v>
      </c>
      <c r="DS16" s="11">
        <f>DR7*$K$4*$H$10*$G$20</f>
        <v>4788</v>
      </c>
      <c r="DT16" s="11">
        <f>DT7*$J$4*$H$11*$G$20</f>
        <v>6156</v>
      </c>
      <c r="DU16" s="11">
        <f>DT7*$K$4*$H$10*$G$20</f>
        <v>4788</v>
      </c>
      <c r="DV16" s="11">
        <f>DV7*$J$4*$H$11*$G$20</f>
        <v>6156</v>
      </c>
      <c r="DW16" s="11">
        <f>DV7*$K$4*$H$10*$G$20</f>
        <v>4788</v>
      </c>
      <c r="DX16" s="11">
        <f>DX7*$J$4*$H$11*$G$20</f>
        <v>6156</v>
      </c>
      <c r="DY16" s="140">
        <f>DX7*$K$4*$H$10*$G$20</f>
        <v>4788</v>
      </c>
      <c r="DZ16" s="11">
        <f>DZ7*$J$4*$H$11*$G$20</f>
        <v>6156</v>
      </c>
      <c r="EA16" s="131">
        <f>DZ7*$K$4*$H$10*$G$20</f>
        <v>4788</v>
      </c>
    </row>
    <row r="17" spans="1:131" ht="16" x14ac:dyDescent="0.2">
      <c r="F17" s="57" t="s">
        <v>261</v>
      </c>
      <c r="G17" s="57">
        <v>5</v>
      </c>
      <c r="H17" s="131">
        <f>G17*8</f>
        <v>40</v>
      </c>
      <c r="I17" s="131">
        <f t="shared" si="0"/>
        <v>1200</v>
      </c>
      <c r="J17" s="131">
        <f t="shared" si="0"/>
        <v>900</v>
      </c>
      <c r="K17" s="131">
        <f t="shared" si="0"/>
        <v>300</v>
      </c>
      <c r="L17" s="11">
        <f>L8*J4*H11*G20</f>
        <v>128.25</v>
      </c>
      <c r="M17" s="11">
        <f>L8*K4*H10*G20</f>
        <v>99.75</v>
      </c>
      <c r="N17" s="11">
        <f>N8*J4*H11*G20</f>
        <v>256.5</v>
      </c>
      <c r="O17" s="11">
        <f>N8*K4*H10*G20</f>
        <v>199.5</v>
      </c>
      <c r="P17" s="11">
        <f>P8*J4*H11*G20</f>
        <v>384.75</v>
      </c>
      <c r="Q17" s="11">
        <f>P8*K4*H10*G20</f>
        <v>299.25</v>
      </c>
      <c r="R17" s="11">
        <f>R8*J4*H11*G20</f>
        <v>641.25</v>
      </c>
      <c r="S17" s="11">
        <f>R8*K4*H10*G20</f>
        <v>498.75</v>
      </c>
      <c r="T17" s="11">
        <f>T8*J4*H11*G20</f>
        <v>897.75</v>
      </c>
      <c r="U17" s="11">
        <f>T8*K4*H10*G20</f>
        <v>698.25</v>
      </c>
      <c r="V17" s="11">
        <f>V8*J4*H11*G20</f>
        <v>1090.125</v>
      </c>
      <c r="W17" s="11">
        <f>V8*K4*H10*G20</f>
        <v>847.875</v>
      </c>
      <c r="X17" s="11">
        <f>X8*J4*H11*G20</f>
        <v>1282.5</v>
      </c>
      <c r="Y17" s="11">
        <f>X8*K4*H10*G20</f>
        <v>997.5</v>
      </c>
      <c r="Z17" s="11">
        <f>Z8*J4*H11*G20</f>
        <v>1282.5</v>
      </c>
      <c r="AA17" s="11">
        <f>Z8*K4*H10*G20</f>
        <v>997.5</v>
      </c>
      <c r="AB17" s="11">
        <f>AB8*J4*H11*G20</f>
        <v>1282.5</v>
      </c>
      <c r="AC17" s="11">
        <f>AB8*K4*H10*G20</f>
        <v>997.5</v>
      </c>
      <c r="AD17" s="11">
        <f>AD8*J4*H11*G20</f>
        <v>1282.5</v>
      </c>
      <c r="AE17" s="11">
        <f>AD8*K4*H10*G20</f>
        <v>997.5</v>
      </c>
      <c r="AF17" s="11">
        <f>AF8*J4*H11*G20</f>
        <v>1282.5</v>
      </c>
      <c r="AG17" s="11">
        <f>AF8*K4*H10*G20</f>
        <v>997.5</v>
      </c>
      <c r="AH17" s="11">
        <f>AH8*J4*H11*G20</f>
        <v>1282.5</v>
      </c>
      <c r="AI17" s="11">
        <f>AH8*K4*H10*G20</f>
        <v>997.5</v>
      </c>
      <c r="AJ17" s="11">
        <f>AJ8*$J$4*$H$11*$G$20</f>
        <v>1474.875</v>
      </c>
      <c r="AK17" s="11">
        <f>AJ8*$K$4*$H$10*$G$20</f>
        <v>1147.125</v>
      </c>
      <c r="AL17" s="11">
        <f>AL8*$J$4*$H$11*$G$20</f>
        <v>1474.875</v>
      </c>
      <c r="AM17" s="11">
        <f>AL8*$K$4*$H$10*$G$20</f>
        <v>1147.125</v>
      </c>
      <c r="AN17" s="11">
        <f>AN8*$J$4*$H$11*$G$20</f>
        <v>1474.875</v>
      </c>
      <c r="AO17" s="11">
        <f>AN8*$K$4*$H$10*$G$20</f>
        <v>1147.125</v>
      </c>
      <c r="AP17" s="11">
        <f>AP8*$J$4*$H$11*$G$20</f>
        <v>1474.875</v>
      </c>
      <c r="AQ17" s="11">
        <f>AP8*$K$4*$H$10*$G$20</f>
        <v>1147.125</v>
      </c>
      <c r="AR17" s="11">
        <f>AR8*$J$4*$H$11*$G$20</f>
        <v>1474.875</v>
      </c>
      <c r="AS17" s="11">
        <f>AR8*$K$4*$H$10*$G$20</f>
        <v>1147.125</v>
      </c>
      <c r="AT17" s="11">
        <f>AT8*$J$4*$H$11*$G$20</f>
        <v>1474.875</v>
      </c>
      <c r="AU17" s="11">
        <f>AT8*$K$4*$H$10*$G$20</f>
        <v>1147.125</v>
      </c>
      <c r="AV17" s="11">
        <f>AV8*$J$4*$H$11*$G$20</f>
        <v>1474.875</v>
      </c>
      <c r="AW17" s="11">
        <f>AV8*$K$4*$H$10*$G$20</f>
        <v>1147.125</v>
      </c>
      <c r="AX17" s="11">
        <f>AX8*$J$4*$H$11*$G$20</f>
        <v>1474.875</v>
      </c>
      <c r="AY17" s="11">
        <f>AX8*$K$4*$H$10*$G$20</f>
        <v>1147.125</v>
      </c>
      <c r="AZ17" s="11">
        <f>AZ8*$J$4*$H$11*$G$20</f>
        <v>1474.875</v>
      </c>
      <c r="BA17" s="11">
        <f>AZ8*$K$4*$H$10*$G$20</f>
        <v>1147.125</v>
      </c>
      <c r="BB17" s="11">
        <f>BB8*$J$4*$H$11*$G$20</f>
        <v>1474.875</v>
      </c>
      <c r="BC17" s="11">
        <f>BB8*$K$4*$H$10*$G$20</f>
        <v>1147.125</v>
      </c>
      <c r="BD17" s="11">
        <f>BD8*$J$4*$H$11*$G$20</f>
        <v>1474.875</v>
      </c>
      <c r="BE17" s="11">
        <f>BD8*$K$4*$H$10*$G$20</f>
        <v>1147.125</v>
      </c>
      <c r="BF17" s="11">
        <f>BF8*$J$4*$H$11*$G$20</f>
        <v>1474.875</v>
      </c>
      <c r="BG17" s="11">
        <f>BF8*$K$4*$H$10*$G$20</f>
        <v>1147.125</v>
      </c>
      <c r="BH17" s="11">
        <f>BH8*$J$4*$H$11*$G$20</f>
        <v>1667.25</v>
      </c>
      <c r="BI17" s="11">
        <f>BH8*$K$4*$H$10*$G$20</f>
        <v>1296.75</v>
      </c>
      <c r="BJ17" s="11">
        <f>BJ8*$J$4*$H$11*$G$20</f>
        <v>1667.25</v>
      </c>
      <c r="BK17" s="11">
        <f>BJ8*$K$4*$H$10*$G$20</f>
        <v>1296.75</v>
      </c>
      <c r="BL17" s="11">
        <f>BL8*$J$4*$H$11*$G$20</f>
        <v>1667.25</v>
      </c>
      <c r="BM17" s="11">
        <f>BL8*$K$4*$H$10*$G$20</f>
        <v>1296.75</v>
      </c>
      <c r="BN17" s="11">
        <f>BN8*$J$4*$H$11*$G$20</f>
        <v>1667.25</v>
      </c>
      <c r="BO17" s="11">
        <f>BN8*$K$4*$H$10*$G$20</f>
        <v>1296.75</v>
      </c>
      <c r="BP17" s="11">
        <f>BP8*$J$4*$H$11*$G$20</f>
        <v>1667.25</v>
      </c>
      <c r="BQ17" s="11">
        <f>BP8*$K$4*$H$10*$G$20</f>
        <v>1296.75</v>
      </c>
      <c r="BR17" s="11">
        <f>BR8*$J$4*$H$11*$G$20</f>
        <v>1667.25</v>
      </c>
      <c r="BS17" s="11">
        <f>BR8*$K$4*$H$10*$G$20</f>
        <v>1296.75</v>
      </c>
      <c r="BT17" s="11">
        <f>BT8*$J$4*$H$11*$G$20</f>
        <v>1667.25</v>
      </c>
      <c r="BU17" s="11">
        <f>BT8*$K$4*$H$10*$G$20</f>
        <v>1296.75</v>
      </c>
      <c r="BV17" s="11">
        <f>BV8*$J$4*$H$11*$G$20</f>
        <v>1667.25</v>
      </c>
      <c r="BW17" s="11">
        <f>BV8*$K$4*$H$10*$G$20</f>
        <v>1296.75</v>
      </c>
      <c r="BX17" s="11">
        <f>BX8*$J$4*$H$11*$G$20</f>
        <v>1667.25</v>
      </c>
      <c r="BY17" s="11">
        <f>BX8*$K$4*$H$10*$G$20</f>
        <v>1296.75</v>
      </c>
      <c r="BZ17" s="11">
        <f>BZ8*$J$4*$H$11*$G$20</f>
        <v>1667.25</v>
      </c>
      <c r="CA17" s="11">
        <f>BZ8*$K$4*$H$10*$G$20</f>
        <v>1296.75</v>
      </c>
      <c r="CB17" s="11">
        <f>CB8*$J$4*$H$11*$G$20</f>
        <v>1667.25</v>
      </c>
      <c r="CC17" s="11">
        <f>CB8*$K$4*$H$10*$G$20</f>
        <v>1296.75</v>
      </c>
      <c r="CD17" s="11">
        <f>CD8*$J$4*$H$11*$G$20</f>
        <v>1667.25</v>
      </c>
      <c r="CE17" s="11">
        <f>CD8*$K$4*$H$10*$G$20</f>
        <v>1296.75</v>
      </c>
      <c r="CF17" s="11">
        <f>CF8*$J$4*$H$11*$G$20</f>
        <v>1859.625</v>
      </c>
      <c r="CG17" s="11">
        <f>CF8*$K$4*$H$10*$G$20</f>
        <v>1446.375</v>
      </c>
      <c r="CH17" s="11">
        <f>CH8*$J$4*$H$11*$G$20</f>
        <v>1859.625</v>
      </c>
      <c r="CI17" s="11">
        <f>CH8*$K$4*$H$10*$G$20</f>
        <v>1446.375</v>
      </c>
      <c r="CJ17" s="11">
        <f>CJ8*$J$4*$H$11*$G$20</f>
        <v>1859.625</v>
      </c>
      <c r="CK17" s="11">
        <f>CJ8*$K$4*$H$10*$G$20</f>
        <v>1446.375</v>
      </c>
      <c r="CL17" s="11">
        <f>CL8*$J$4*$H$11*$G$20</f>
        <v>1859.625</v>
      </c>
      <c r="CM17" s="11">
        <f>CL8*$K$4*$H$10*$G$20</f>
        <v>1446.375</v>
      </c>
      <c r="CN17" s="11">
        <f>CN8*$J$4*$H$11*$G$20</f>
        <v>1859.625</v>
      </c>
      <c r="CO17" s="11">
        <f>CN8*$K$4*$H$10*$G$20</f>
        <v>1446.375</v>
      </c>
      <c r="CP17" s="11">
        <f>CP8*$J$4*$H$11*$G$20</f>
        <v>1859.625</v>
      </c>
      <c r="CQ17" s="11">
        <f>CP8*$K$4*$H$10*$G$20</f>
        <v>1446.375</v>
      </c>
      <c r="CR17" s="11">
        <f>CR8*$J$4*$H$11*$G$20</f>
        <v>1859.625</v>
      </c>
      <c r="CS17" s="11">
        <f>CR8*$K$4*$H$10*$G$20</f>
        <v>1446.375</v>
      </c>
      <c r="CT17" s="11">
        <f>CT8*$J$4*$H$11*$G$20</f>
        <v>1859.625</v>
      </c>
      <c r="CU17" s="11">
        <f>CT8*$K$4*$H$10*$G$20</f>
        <v>1446.375</v>
      </c>
      <c r="CV17" s="11">
        <f>CV8*$J$4*$H$11*$G$20</f>
        <v>1859.625</v>
      </c>
      <c r="CW17" s="11">
        <f>CV8*$K$4*$H$10*$G$20</f>
        <v>1446.375</v>
      </c>
      <c r="CX17" s="11">
        <f>CX8*$J$4*$H$11*$G$20</f>
        <v>1859.625</v>
      </c>
      <c r="CY17" s="11">
        <f>CX8*$K$4*$H$10*$G$20</f>
        <v>1446.375</v>
      </c>
      <c r="CZ17" s="11">
        <f>CZ8*$J$4*$H$11*$G$20</f>
        <v>1859.625</v>
      </c>
      <c r="DA17" s="11">
        <f>CZ8*$K$4*$H$10*$G$20</f>
        <v>1446.375</v>
      </c>
      <c r="DB17" s="11">
        <f>DB8*$J$4*$H$11*$G$20</f>
        <v>1859.625</v>
      </c>
      <c r="DC17" s="11">
        <f>DB8*$K$4*$H$10*$G$20</f>
        <v>1446.375</v>
      </c>
      <c r="DD17" s="11">
        <f>DD8*$J$4*$H$11*$G$20</f>
        <v>2052</v>
      </c>
      <c r="DE17" s="11">
        <f>DD8*$K$4*$H$10*$G$20</f>
        <v>1596</v>
      </c>
      <c r="DF17" s="11">
        <f>DF8*$J$4*$H$11*$G$20</f>
        <v>2052</v>
      </c>
      <c r="DG17" s="11">
        <f>DF8*$K$4*$H$10*$G$20</f>
        <v>1596</v>
      </c>
      <c r="DH17" s="11">
        <f>DH8*$J$4*$H$11*$G$20</f>
        <v>2052</v>
      </c>
      <c r="DI17" s="11">
        <f>DH8*$K$4*$H$10*$G$20</f>
        <v>1596</v>
      </c>
      <c r="DJ17" s="11">
        <f>DJ8*$J$4*$H$11*$G$20</f>
        <v>2052</v>
      </c>
      <c r="DK17" s="11">
        <f>DJ8*$K$4*$H$10*$G$20</f>
        <v>1596</v>
      </c>
      <c r="DL17" s="11">
        <f>DL8*$J$4*$H$11*$G$20</f>
        <v>2052</v>
      </c>
      <c r="DM17" s="11">
        <f>DL8*$K$4*$H$10*$G$20</f>
        <v>1596</v>
      </c>
      <c r="DN17" s="11">
        <f>DN8*$J$4*$H$11*$G$20</f>
        <v>2052</v>
      </c>
      <c r="DO17" s="11">
        <f>DN8*$K$4*$H$10*$G$20</f>
        <v>1596</v>
      </c>
      <c r="DP17" s="11">
        <f>DP8*$J$4*$H$11*$G$20</f>
        <v>2052</v>
      </c>
      <c r="DQ17" s="11">
        <f>DP8*$K$4*$H$10*$G$20</f>
        <v>1596</v>
      </c>
      <c r="DR17" s="11">
        <f>DR8*$J$4*$H$11*$G$20</f>
        <v>2052</v>
      </c>
      <c r="DS17" s="11">
        <f>DR8*$K$4*$H$10*$G$20</f>
        <v>1596</v>
      </c>
      <c r="DT17" s="11">
        <f>DT8*$J$4*$H$11*$G$20</f>
        <v>2052</v>
      </c>
      <c r="DU17" s="11">
        <f>DT8*$K$4*$H$10*$G$20</f>
        <v>1596</v>
      </c>
      <c r="DV17" s="11">
        <f>DV8*$J$4*$H$11*$G$20</f>
        <v>2052</v>
      </c>
      <c r="DW17" s="11">
        <f>DV8*$K$4*$H$10*$G$20</f>
        <v>1596</v>
      </c>
      <c r="DX17" s="11">
        <f>DX8*$J$4*$H$11*$G$20</f>
        <v>2052</v>
      </c>
      <c r="DY17" s="140">
        <f>DX8*$K$4*$H$10*$G$20</f>
        <v>1596</v>
      </c>
      <c r="DZ17" s="11">
        <f>DZ8*$J$4*$H$11*$G$20</f>
        <v>2052</v>
      </c>
      <c r="EA17" s="131">
        <f>DZ8*$K$4*$H$10*$G$20</f>
        <v>1596</v>
      </c>
    </row>
    <row r="18" spans="1:131" x14ac:dyDescent="0.2">
      <c r="F18" s="225" t="s">
        <v>262</v>
      </c>
      <c r="G18" s="225"/>
      <c r="H18" s="135"/>
      <c r="I18" s="135"/>
      <c r="J18" s="131"/>
      <c r="K18" s="131"/>
      <c r="L18" s="141">
        <f t="shared" ref="L18:AQ18" si="1">SUM(L15:L17)</f>
        <v>1282.5</v>
      </c>
      <c r="M18" s="141">
        <f t="shared" si="1"/>
        <v>997.5</v>
      </c>
      <c r="N18" s="141">
        <f t="shared" si="1"/>
        <v>2565</v>
      </c>
      <c r="O18" s="141">
        <f t="shared" si="1"/>
        <v>1995</v>
      </c>
      <c r="P18" s="141">
        <f t="shared" si="1"/>
        <v>3847.5</v>
      </c>
      <c r="Q18" s="141">
        <f t="shared" si="1"/>
        <v>2992.5</v>
      </c>
      <c r="R18" s="141">
        <f t="shared" si="1"/>
        <v>6412.5</v>
      </c>
      <c r="S18" s="141">
        <f t="shared" si="1"/>
        <v>4987.5</v>
      </c>
      <c r="T18" s="141">
        <f t="shared" si="1"/>
        <v>8977.5</v>
      </c>
      <c r="U18" s="141">
        <f t="shared" si="1"/>
        <v>6982.5</v>
      </c>
      <c r="V18" s="141">
        <f t="shared" si="1"/>
        <v>10901.25</v>
      </c>
      <c r="W18" s="141">
        <f t="shared" si="1"/>
        <v>8478.75</v>
      </c>
      <c r="X18" s="141">
        <f t="shared" si="1"/>
        <v>12825</v>
      </c>
      <c r="Y18" s="141">
        <f t="shared" si="1"/>
        <v>9975</v>
      </c>
      <c r="Z18" s="141">
        <f t="shared" si="1"/>
        <v>12825</v>
      </c>
      <c r="AA18" s="141">
        <f t="shared" si="1"/>
        <v>9975</v>
      </c>
      <c r="AB18" s="141">
        <f t="shared" si="1"/>
        <v>12825</v>
      </c>
      <c r="AC18" s="141">
        <f t="shared" si="1"/>
        <v>9975</v>
      </c>
      <c r="AD18" s="141">
        <f t="shared" si="1"/>
        <v>12825</v>
      </c>
      <c r="AE18" s="141">
        <f t="shared" si="1"/>
        <v>9975</v>
      </c>
      <c r="AF18" s="141">
        <f t="shared" si="1"/>
        <v>12825</v>
      </c>
      <c r="AG18" s="141">
        <f t="shared" si="1"/>
        <v>9975</v>
      </c>
      <c r="AH18" s="141">
        <f t="shared" si="1"/>
        <v>12825</v>
      </c>
      <c r="AI18" s="141">
        <f t="shared" si="1"/>
        <v>9975</v>
      </c>
      <c r="AJ18" s="141">
        <f t="shared" si="1"/>
        <v>14748.75</v>
      </c>
      <c r="AK18" s="141">
        <f t="shared" si="1"/>
        <v>11471.25</v>
      </c>
      <c r="AL18" s="141">
        <f t="shared" si="1"/>
        <v>14748.75</v>
      </c>
      <c r="AM18" s="141">
        <f t="shared" si="1"/>
        <v>11471.25</v>
      </c>
      <c r="AN18" s="141">
        <f t="shared" si="1"/>
        <v>14748.75</v>
      </c>
      <c r="AO18" s="141">
        <f t="shared" si="1"/>
        <v>11471.25</v>
      </c>
      <c r="AP18" s="141">
        <f t="shared" si="1"/>
        <v>14748.75</v>
      </c>
      <c r="AQ18" s="141">
        <f t="shared" si="1"/>
        <v>11471.25</v>
      </c>
      <c r="AR18" s="141">
        <f t="shared" ref="AR18:BW18" si="2">SUM(AR15:AR17)</f>
        <v>14748.75</v>
      </c>
      <c r="AS18" s="141">
        <f t="shared" si="2"/>
        <v>11471.25</v>
      </c>
      <c r="AT18" s="141">
        <f t="shared" si="2"/>
        <v>14748.75</v>
      </c>
      <c r="AU18" s="141">
        <f t="shared" si="2"/>
        <v>11471.25</v>
      </c>
      <c r="AV18" s="141">
        <f t="shared" si="2"/>
        <v>14748.75</v>
      </c>
      <c r="AW18" s="141">
        <f t="shared" si="2"/>
        <v>11471.25</v>
      </c>
      <c r="AX18" s="141">
        <f t="shared" si="2"/>
        <v>14748.75</v>
      </c>
      <c r="AY18" s="141">
        <f t="shared" si="2"/>
        <v>11471.25</v>
      </c>
      <c r="AZ18" s="141">
        <f t="shared" si="2"/>
        <v>14748.75</v>
      </c>
      <c r="BA18" s="141">
        <f t="shared" si="2"/>
        <v>11471.25</v>
      </c>
      <c r="BB18" s="141">
        <f t="shared" si="2"/>
        <v>14748.75</v>
      </c>
      <c r="BC18" s="141">
        <f t="shared" si="2"/>
        <v>11471.25</v>
      </c>
      <c r="BD18" s="141">
        <f t="shared" si="2"/>
        <v>14748.75</v>
      </c>
      <c r="BE18" s="141">
        <f t="shared" si="2"/>
        <v>11471.25</v>
      </c>
      <c r="BF18" s="141">
        <f t="shared" si="2"/>
        <v>14748.75</v>
      </c>
      <c r="BG18" s="141">
        <f t="shared" si="2"/>
        <v>11471.25</v>
      </c>
      <c r="BH18" s="141">
        <f t="shared" si="2"/>
        <v>16672.5</v>
      </c>
      <c r="BI18" s="141">
        <f t="shared" si="2"/>
        <v>12967.5</v>
      </c>
      <c r="BJ18" s="141">
        <f t="shared" si="2"/>
        <v>16672.5</v>
      </c>
      <c r="BK18" s="141">
        <f t="shared" si="2"/>
        <v>12967.5</v>
      </c>
      <c r="BL18" s="141">
        <f t="shared" si="2"/>
        <v>16672.5</v>
      </c>
      <c r="BM18" s="141">
        <f t="shared" si="2"/>
        <v>12967.5</v>
      </c>
      <c r="BN18" s="141">
        <f t="shared" si="2"/>
        <v>16672.5</v>
      </c>
      <c r="BO18" s="141">
        <f t="shared" si="2"/>
        <v>12967.5</v>
      </c>
      <c r="BP18" s="141">
        <f t="shared" si="2"/>
        <v>16672.5</v>
      </c>
      <c r="BQ18" s="141">
        <f t="shared" si="2"/>
        <v>12967.5</v>
      </c>
      <c r="BR18" s="141">
        <f t="shared" si="2"/>
        <v>16672.5</v>
      </c>
      <c r="BS18" s="141">
        <f t="shared" si="2"/>
        <v>12967.5</v>
      </c>
      <c r="BT18" s="141">
        <f t="shared" si="2"/>
        <v>16672.5</v>
      </c>
      <c r="BU18" s="141">
        <f t="shared" si="2"/>
        <v>12967.5</v>
      </c>
      <c r="BV18" s="141">
        <f t="shared" si="2"/>
        <v>16672.5</v>
      </c>
      <c r="BW18" s="141">
        <f t="shared" si="2"/>
        <v>12967.5</v>
      </c>
      <c r="BX18" s="141">
        <f t="shared" ref="BX18:DC18" si="3">SUM(BX15:BX17)</f>
        <v>16672.5</v>
      </c>
      <c r="BY18" s="141">
        <f t="shared" si="3"/>
        <v>12967.5</v>
      </c>
      <c r="BZ18" s="141">
        <f t="shared" si="3"/>
        <v>16672.5</v>
      </c>
      <c r="CA18" s="141">
        <f t="shared" si="3"/>
        <v>12967.5</v>
      </c>
      <c r="CB18" s="141">
        <f t="shared" si="3"/>
        <v>16672.5</v>
      </c>
      <c r="CC18" s="141">
        <f t="shared" si="3"/>
        <v>12967.5</v>
      </c>
      <c r="CD18" s="141">
        <f t="shared" si="3"/>
        <v>16672.5</v>
      </c>
      <c r="CE18" s="141">
        <f t="shared" si="3"/>
        <v>12967.5</v>
      </c>
      <c r="CF18" s="141">
        <f t="shared" si="3"/>
        <v>18596.25</v>
      </c>
      <c r="CG18" s="141">
        <f t="shared" si="3"/>
        <v>14463.75</v>
      </c>
      <c r="CH18" s="141">
        <f t="shared" si="3"/>
        <v>18596.25</v>
      </c>
      <c r="CI18" s="141">
        <f t="shared" si="3"/>
        <v>14463.75</v>
      </c>
      <c r="CJ18" s="141">
        <f t="shared" si="3"/>
        <v>18596.25</v>
      </c>
      <c r="CK18" s="141">
        <f t="shared" si="3"/>
        <v>14463.75</v>
      </c>
      <c r="CL18" s="141">
        <f t="shared" si="3"/>
        <v>18596.25</v>
      </c>
      <c r="CM18" s="141">
        <f t="shared" si="3"/>
        <v>14463.75</v>
      </c>
      <c r="CN18" s="141">
        <f t="shared" si="3"/>
        <v>18596.25</v>
      </c>
      <c r="CO18" s="141">
        <f t="shared" si="3"/>
        <v>14463.75</v>
      </c>
      <c r="CP18" s="141">
        <f t="shared" si="3"/>
        <v>18596.25</v>
      </c>
      <c r="CQ18" s="141">
        <f t="shared" si="3"/>
        <v>14463.75</v>
      </c>
      <c r="CR18" s="141">
        <f t="shared" si="3"/>
        <v>18596.25</v>
      </c>
      <c r="CS18" s="141">
        <f t="shared" si="3"/>
        <v>14463.75</v>
      </c>
      <c r="CT18" s="141">
        <f t="shared" si="3"/>
        <v>18596.25</v>
      </c>
      <c r="CU18" s="141">
        <f t="shared" si="3"/>
        <v>14463.75</v>
      </c>
      <c r="CV18" s="141">
        <f t="shared" si="3"/>
        <v>18596.25</v>
      </c>
      <c r="CW18" s="141">
        <f t="shared" si="3"/>
        <v>14463.75</v>
      </c>
      <c r="CX18" s="141">
        <f t="shared" si="3"/>
        <v>18596.25</v>
      </c>
      <c r="CY18" s="141">
        <f t="shared" si="3"/>
        <v>14463.75</v>
      </c>
      <c r="CZ18" s="141">
        <f t="shared" si="3"/>
        <v>18596.25</v>
      </c>
      <c r="DA18" s="141">
        <f t="shared" si="3"/>
        <v>14463.75</v>
      </c>
      <c r="DB18" s="141">
        <f t="shared" si="3"/>
        <v>18596.25</v>
      </c>
      <c r="DC18" s="141">
        <f t="shared" si="3"/>
        <v>14463.75</v>
      </c>
      <c r="DD18" s="141">
        <f t="shared" ref="DD18:EA18" si="4">SUM(DD15:DD17)</f>
        <v>20520</v>
      </c>
      <c r="DE18" s="141">
        <f t="shared" si="4"/>
        <v>15960</v>
      </c>
      <c r="DF18" s="141">
        <f t="shared" si="4"/>
        <v>20520</v>
      </c>
      <c r="DG18" s="141">
        <f t="shared" si="4"/>
        <v>15960</v>
      </c>
      <c r="DH18" s="141">
        <f t="shared" si="4"/>
        <v>20520</v>
      </c>
      <c r="DI18" s="141">
        <f t="shared" si="4"/>
        <v>15960</v>
      </c>
      <c r="DJ18" s="141">
        <f t="shared" si="4"/>
        <v>20520</v>
      </c>
      <c r="DK18" s="141">
        <f t="shared" si="4"/>
        <v>15960</v>
      </c>
      <c r="DL18" s="141">
        <f t="shared" si="4"/>
        <v>20520</v>
      </c>
      <c r="DM18" s="142">
        <f t="shared" si="4"/>
        <v>15960</v>
      </c>
      <c r="DN18" s="141">
        <f t="shared" si="4"/>
        <v>20520</v>
      </c>
      <c r="DO18" s="141">
        <f t="shared" si="4"/>
        <v>15960</v>
      </c>
      <c r="DP18" s="141">
        <f t="shared" si="4"/>
        <v>20520</v>
      </c>
      <c r="DQ18" s="141">
        <f t="shared" si="4"/>
        <v>15960</v>
      </c>
      <c r="DR18" s="141">
        <f t="shared" si="4"/>
        <v>20520</v>
      </c>
      <c r="DS18" s="141">
        <f t="shared" si="4"/>
        <v>15960</v>
      </c>
      <c r="DT18" s="141">
        <f t="shared" si="4"/>
        <v>20520</v>
      </c>
      <c r="DU18" s="141">
        <f t="shared" si="4"/>
        <v>15960</v>
      </c>
      <c r="DV18" s="141">
        <f t="shared" si="4"/>
        <v>20520</v>
      </c>
      <c r="DW18" s="141">
        <f t="shared" si="4"/>
        <v>15960</v>
      </c>
      <c r="DX18" s="141">
        <f t="shared" si="4"/>
        <v>20520</v>
      </c>
      <c r="DY18" s="141">
        <f t="shared" si="4"/>
        <v>15960</v>
      </c>
      <c r="DZ18" s="141">
        <f t="shared" si="4"/>
        <v>20520</v>
      </c>
      <c r="EA18" s="141">
        <f t="shared" si="4"/>
        <v>15960</v>
      </c>
    </row>
    <row r="19" spans="1:131" s="145" customFormat="1" x14ac:dyDescent="0.2">
      <c r="A19" s="143"/>
      <c r="B19" s="143"/>
      <c r="C19" s="143"/>
      <c r="D19" s="143"/>
      <c r="E19" s="143"/>
      <c r="F19" s="144"/>
      <c r="G19" s="144"/>
      <c r="H19" s="144"/>
      <c r="I19" s="144"/>
      <c r="L19" s="146">
        <f>SUM(L18:M18)</f>
        <v>2280</v>
      </c>
      <c r="M19" s="147"/>
      <c r="N19" s="146">
        <f>SUM(N18:O18)</f>
        <v>4560</v>
      </c>
      <c r="O19" s="147"/>
      <c r="P19" s="146">
        <f>SUM(P18:Q18)</f>
        <v>6840</v>
      </c>
      <c r="Q19" s="147"/>
      <c r="R19" s="146">
        <f>SUM(R18:S18)</f>
        <v>11400</v>
      </c>
      <c r="S19" s="147"/>
      <c r="T19" s="146">
        <f>SUM(T18:U18)</f>
        <v>15960</v>
      </c>
      <c r="U19" s="147"/>
      <c r="V19" s="146">
        <f>SUM(V18:W18)</f>
        <v>19380</v>
      </c>
      <c r="W19" s="147"/>
      <c r="X19" s="146">
        <f>SUM(X18:Y18)</f>
        <v>22800</v>
      </c>
      <c r="Y19" s="147"/>
      <c r="Z19" s="146">
        <f>SUM(Z18:AA18)</f>
        <v>22800</v>
      </c>
      <c r="AA19" s="147"/>
      <c r="AB19" s="146">
        <f>SUM(AB18:AC18)</f>
        <v>22800</v>
      </c>
      <c r="AC19" s="147"/>
      <c r="AD19" s="146">
        <f>SUM(AD18:AE18)</f>
        <v>22800</v>
      </c>
      <c r="AE19" s="147"/>
      <c r="AF19" s="146">
        <f>SUM(AF18:AG18)</f>
        <v>22800</v>
      </c>
      <c r="AG19" s="147"/>
      <c r="AH19" s="146">
        <f>SUM(AH18:AI18)</f>
        <v>22800</v>
      </c>
      <c r="AI19" s="147"/>
      <c r="AJ19" s="146">
        <f>SUM(AJ18:AK18)</f>
        <v>26220</v>
      </c>
      <c r="AK19" s="147"/>
      <c r="AL19" s="146">
        <f>SUM(AL18:AM18)</f>
        <v>26220</v>
      </c>
      <c r="AM19" s="147"/>
      <c r="AN19" s="146">
        <f>SUM(AN18:AO18)</f>
        <v>26220</v>
      </c>
      <c r="AO19" s="147"/>
      <c r="AP19" s="146">
        <f>SUM(AP18:AQ18)</f>
        <v>26220</v>
      </c>
      <c r="AQ19" s="147"/>
      <c r="AR19" s="146">
        <f>SUM(AR18:AS18)</f>
        <v>26220</v>
      </c>
      <c r="AS19" s="147"/>
      <c r="AT19" s="146">
        <f>SUM(AT18:AU18)</f>
        <v>26220</v>
      </c>
      <c r="AU19" s="147"/>
      <c r="AV19" s="146">
        <f>SUM(AV18:AW18)</f>
        <v>26220</v>
      </c>
      <c r="AW19" s="147"/>
      <c r="AX19" s="146">
        <f>SUM(AX18:AY18)</f>
        <v>26220</v>
      </c>
      <c r="AY19" s="147"/>
      <c r="AZ19" s="146">
        <f>SUM(AZ18:BA18)</f>
        <v>26220</v>
      </c>
      <c r="BA19" s="147"/>
      <c r="BB19" s="146">
        <f>SUM(BB18:BC18)</f>
        <v>26220</v>
      </c>
      <c r="BC19" s="147"/>
      <c r="BD19" s="146">
        <f>SUM(BD18:BE18)</f>
        <v>26220</v>
      </c>
      <c r="BE19" s="147"/>
      <c r="BF19" s="146">
        <f>SUM(BF18:BG18)</f>
        <v>26220</v>
      </c>
      <c r="BG19" s="147"/>
      <c r="BH19" s="146">
        <f>SUM(BH18:BI18)</f>
        <v>29640</v>
      </c>
      <c r="BI19" s="147"/>
      <c r="BJ19" s="146">
        <f>SUM(BJ18:BK18)</f>
        <v>29640</v>
      </c>
      <c r="BK19" s="147"/>
      <c r="BL19" s="146">
        <f>SUM(BL18:BM18)</f>
        <v>29640</v>
      </c>
      <c r="BM19" s="147"/>
      <c r="BN19" s="146">
        <f>SUM(BN18:BO18)</f>
        <v>29640</v>
      </c>
      <c r="BO19" s="147"/>
      <c r="BP19" s="146">
        <f>SUM(BP18:BQ18)</f>
        <v>29640</v>
      </c>
      <c r="BQ19" s="147"/>
      <c r="BR19" s="146">
        <f>SUM(BR18:BS18)</f>
        <v>29640</v>
      </c>
      <c r="BS19" s="147"/>
      <c r="BT19" s="146">
        <f>SUM(BT18:BU18)</f>
        <v>29640</v>
      </c>
      <c r="BU19" s="147"/>
      <c r="BV19" s="146">
        <f>SUM(BV18:BW18)</f>
        <v>29640</v>
      </c>
      <c r="BW19" s="147"/>
      <c r="BX19" s="146">
        <f>SUM(BX18:BY18)</f>
        <v>29640</v>
      </c>
      <c r="BY19" s="147"/>
      <c r="BZ19" s="146">
        <f>SUM(BZ18:CA18)</f>
        <v>29640</v>
      </c>
      <c r="CA19" s="147"/>
      <c r="CB19" s="146">
        <f>SUM(CB18:CC18)</f>
        <v>29640</v>
      </c>
      <c r="CC19" s="147"/>
      <c r="CD19" s="146">
        <f>SUM(CD18:CE18)</f>
        <v>29640</v>
      </c>
      <c r="CE19" s="147"/>
      <c r="CF19" s="146">
        <f>SUM(CF18:CG18)</f>
        <v>33060</v>
      </c>
      <c r="CG19" s="147"/>
      <c r="CH19" s="146">
        <f>SUM(CH18:CI18)</f>
        <v>33060</v>
      </c>
      <c r="CI19" s="147"/>
      <c r="CJ19" s="146">
        <f>SUM(CJ18:CK18)</f>
        <v>33060</v>
      </c>
      <c r="CK19" s="147"/>
      <c r="CL19" s="146">
        <f>SUM(CL18:CM18)</f>
        <v>33060</v>
      </c>
      <c r="CM19" s="147"/>
      <c r="CN19" s="146">
        <f>SUM(CN18:CO18)</f>
        <v>33060</v>
      </c>
      <c r="CO19" s="147"/>
      <c r="CP19" s="146">
        <f>SUM(CP18:CQ18)</f>
        <v>33060</v>
      </c>
      <c r="CQ19" s="147"/>
      <c r="CR19" s="146">
        <f>SUM(CR18:CS18)</f>
        <v>33060</v>
      </c>
      <c r="CS19" s="147"/>
      <c r="CT19" s="146">
        <f>SUM(CT18:CU18)</f>
        <v>33060</v>
      </c>
      <c r="CU19" s="147"/>
      <c r="CV19" s="146">
        <f>SUM(CV18:CW18)</f>
        <v>33060</v>
      </c>
      <c r="CW19" s="147"/>
      <c r="CX19" s="146">
        <f>SUM(CX18:CY18)</f>
        <v>33060</v>
      </c>
      <c r="CY19" s="147"/>
      <c r="CZ19" s="146">
        <f>SUM(CZ18:DA18)</f>
        <v>33060</v>
      </c>
      <c r="DA19" s="147"/>
      <c r="DB19" s="146">
        <f>SUM(DB18:DC18)</f>
        <v>33060</v>
      </c>
      <c r="DC19" s="147"/>
      <c r="DD19" s="146">
        <f>SUM(DD18:DE18)</f>
        <v>36480</v>
      </c>
      <c r="DE19" s="147"/>
      <c r="DF19" s="146">
        <f>SUM(DF18:DG18)</f>
        <v>36480</v>
      </c>
      <c r="DG19" s="147"/>
      <c r="DH19" s="148">
        <f>SUM(DH18:DI18)</f>
        <v>36480</v>
      </c>
      <c r="DI19" s="149"/>
      <c r="DJ19" s="146">
        <f>SUM(DJ18:DK18)</f>
        <v>36480</v>
      </c>
      <c r="DK19" s="147"/>
      <c r="DL19" s="146">
        <f>SUM(DL18:DM18)</f>
        <v>36480</v>
      </c>
      <c r="DM19" s="147"/>
      <c r="DN19" s="146">
        <f>SUM(DN18:DO18)</f>
        <v>36480</v>
      </c>
      <c r="DO19" s="147"/>
      <c r="DP19" s="146">
        <f>SUM(DP18:DQ18)</f>
        <v>36480</v>
      </c>
      <c r="DQ19" s="11"/>
      <c r="DR19" s="146">
        <f>SUM(DR18:DS18)</f>
        <v>36480</v>
      </c>
      <c r="DS19" s="147"/>
      <c r="DT19" s="146">
        <f>SUM(DT18:DU18)</f>
        <v>36480</v>
      </c>
      <c r="DU19" s="147"/>
      <c r="DV19" s="146">
        <f>SUM(DV18:DW18)</f>
        <v>36480</v>
      </c>
      <c r="DW19" s="147"/>
      <c r="DX19" s="146">
        <f>SUM(DX18:DY18)</f>
        <v>36480</v>
      </c>
      <c r="DY19" s="147"/>
      <c r="DZ19" s="146">
        <f>SUM(DZ18:EA18)</f>
        <v>36480</v>
      </c>
      <c r="EA19" s="147"/>
    </row>
    <row r="20" spans="1:131" ht="16" x14ac:dyDescent="0.2">
      <c r="F20" s="150" t="s">
        <v>268</v>
      </c>
      <c r="G20" s="226">
        <v>0.19</v>
      </c>
      <c r="H20" s="226"/>
      <c r="I20" s="226"/>
      <c r="J20" s="226"/>
      <c r="K20" s="226"/>
      <c r="L20" s="151">
        <f>SUM(L18:AI18)</f>
        <v>197220</v>
      </c>
      <c r="M20" s="139"/>
      <c r="AJ20" s="152">
        <f>SUM(AJ18:BG18)</f>
        <v>314640</v>
      </c>
      <c r="BH20" s="152">
        <f>SUM(BH18:CE18)</f>
        <v>355680</v>
      </c>
      <c r="CF20" s="152">
        <f>SUM(CF18:DC18)</f>
        <v>396720</v>
      </c>
      <c r="DD20" s="152">
        <f>SUM(DD18:EA18)</f>
        <v>437760</v>
      </c>
    </row>
  </sheetData>
  <mergeCells count="444">
    <mergeCell ref="F1:AP1"/>
    <mergeCell ref="F3:F4"/>
    <mergeCell ref="G3:G4"/>
    <mergeCell ref="H3:H4"/>
    <mergeCell ref="I3:I4"/>
    <mergeCell ref="L3:AI3"/>
    <mergeCell ref="AJ3:BG3"/>
    <mergeCell ref="BH3:CE3"/>
    <mergeCell ref="CF3:DC3"/>
    <mergeCell ref="BF4:BG4"/>
    <mergeCell ref="BH4:BI4"/>
    <mergeCell ref="BJ4:BK4"/>
    <mergeCell ref="BL4:BM4"/>
    <mergeCell ref="BN4:BO4"/>
    <mergeCell ref="BP4:BQ4"/>
    <mergeCell ref="BR4:BS4"/>
    <mergeCell ref="BT4:BU4"/>
    <mergeCell ref="BV4:BW4"/>
    <mergeCell ref="BX4:BY4"/>
    <mergeCell ref="BZ4:CA4"/>
    <mergeCell ref="CB4:CC4"/>
    <mergeCell ref="CD4:CE4"/>
    <mergeCell ref="CF4:CG4"/>
    <mergeCell ref="CH4:CI4"/>
    <mergeCell ref="DD3:EA3"/>
    <mergeCell ref="L4:M4"/>
    <mergeCell ref="N4:O4"/>
    <mergeCell ref="P4:Q4"/>
    <mergeCell ref="R4:S4"/>
    <mergeCell ref="T4:U4"/>
    <mergeCell ref="V4:W4"/>
    <mergeCell ref="X4:Y4"/>
    <mergeCell ref="Z4:AA4"/>
    <mergeCell ref="AB4:AC4"/>
    <mergeCell ref="AD4:AE4"/>
    <mergeCell ref="AF4:AG4"/>
    <mergeCell ref="AH4:AI4"/>
    <mergeCell ref="AJ4:AK4"/>
    <mergeCell ref="AL4:AM4"/>
    <mergeCell ref="AN4:AO4"/>
    <mergeCell ref="AP4:AQ4"/>
    <mergeCell ref="AR4:AS4"/>
    <mergeCell ref="AT4:AU4"/>
    <mergeCell ref="AV4:AW4"/>
    <mergeCell ref="AX4:AY4"/>
    <mergeCell ref="AZ4:BA4"/>
    <mergeCell ref="BB4:BC4"/>
    <mergeCell ref="BD4:BE4"/>
    <mergeCell ref="CJ4:CK4"/>
    <mergeCell ref="CL4:CM4"/>
    <mergeCell ref="CN4:CO4"/>
    <mergeCell ref="CP4:CQ4"/>
    <mergeCell ref="CR4:CS4"/>
    <mergeCell ref="CT4:CU4"/>
    <mergeCell ref="CV4:CW4"/>
    <mergeCell ref="CX4:CY4"/>
    <mergeCell ref="CZ4:DA4"/>
    <mergeCell ref="DB4:DC4"/>
    <mergeCell ref="DD4:DE4"/>
    <mergeCell ref="DF4:DG4"/>
    <mergeCell ref="DH4:DI4"/>
    <mergeCell ref="DJ4:DK4"/>
    <mergeCell ref="DL4:DM4"/>
    <mergeCell ref="DN4:DO4"/>
    <mergeCell ref="DP4:DQ4"/>
    <mergeCell ref="DR4:DS4"/>
    <mergeCell ref="DT4:DU4"/>
    <mergeCell ref="DV4:DW4"/>
    <mergeCell ref="DX4:DY4"/>
    <mergeCell ref="DZ4:EA4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BV5:BW5"/>
    <mergeCell ref="BX5:BY5"/>
    <mergeCell ref="BZ5:CA5"/>
    <mergeCell ref="CB5:CC5"/>
    <mergeCell ref="CD5:CE5"/>
    <mergeCell ref="CF5:CG5"/>
    <mergeCell ref="CH5:CI5"/>
    <mergeCell ref="CJ5:CK5"/>
    <mergeCell ref="CL5:CM5"/>
    <mergeCell ref="CN5:CO5"/>
    <mergeCell ref="CP5:CQ5"/>
    <mergeCell ref="CR5:CS5"/>
    <mergeCell ref="CT5:CU5"/>
    <mergeCell ref="CV5:CW5"/>
    <mergeCell ref="CX5:CY5"/>
    <mergeCell ref="CZ5:DA5"/>
    <mergeCell ref="DB5:DC5"/>
    <mergeCell ref="DD5:DE5"/>
    <mergeCell ref="DF5:DG5"/>
    <mergeCell ref="DH5:DI5"/>
    <mergeCell ref="DJ5:DK5"/>
    <mergeCell ref="DL5:DM5"/>
    <mergeCell ref="DN5:DO5"/>
    <mergeCell ref="DP5:DQ5"/>
    <mergeCell ref="DR5:DS5"/>
    <mergeCell ref="DT5:DU5"/>
    <mergeCell ref="DV5:DW5"/>
    <mergeCell ref="DX5:DY5"/>
    <mergeCell ref="DZ5:EA5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AV6:AW6"/>
    <mergeCell ref="AX6:AY6"/>
    <mergeCell ref="AZ6:BA6"/>
    <mergeCell ref="BB6:BC6"/>
    <mergeCell ref="BD6:BE6"/>
    <mergeCell ref="BF6:BG6"/>
    <mergeCell ref="BH6:BI6"/>
    <mergeCell ref="BJ6:BK6"/>
    <mergeCell ref="BL6:BM6"/>
    <mergeCell ref="BN6:BO6"/>
    <mergeCell ref="BP6:BQ6"/>
    <mergeCell ref="BR6:BS6"/>
    <mergeCell ref="BT6:BU6"/>
    <mergeCell ref="BV6:BW6"/>
    <mergeCell ref="BX6:BY6"/>
    <mergeCell ref="BZ6:CA6"/>
    <mergeCell ref="CB6:CC6"/>
    <mergeCell ref="CD6:CE6"/>
    <mergeCell ref="CF6:CG6"/>
    <mergeCell ref="CH6:CI6"/>
    <mergeCell ref="CJ6:CK6"/>
    <mergeCell ref="CL6:CM6"/>
    <mergeCell ref="CN6:CO6"/>
    <mergeCell ref="CP6:CQ6"/>
    <mergeCell ref="CR6:CS6"/>
    <mergeCell ref="CT6:CU6"/>
    <mergeCell ref="CV6:CW6"/>
    <mergeCell ref="CX6:CY6"/>
    <mergeCell ref="CZ6:DA6"/>
    <mergeCell ref="DB6:DC6"/>
    <mergeCell ref="DD6:DE6"/>
    <mergeCell ref="DF6:DG6"/>
    <mergeCell ref="DH6:DI6"/>
    <mergeCell ref="DJ6:DK6"/>
    <mergeCell ref="DL6:DM6"/>
    <mergeCell ref="DN6:DO6"/>
    <mergeCell ref="DP6:DQ6"/>
    <mergeCell ref="DR6:DS6"/>
    <mergeCell ref="DT6:DU6"/>
    <mergeCell ref="DV6:DW6"/>
    <mergeCell ref="DX6:DY6"/>
    <mergeCell ref="DZ6:EA6"/>
    <mergeCell ref="L7:M7"/>
    <mergeCell ref="N7:O7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AP7:AQ7"/>
    <mergeCell ref="AR7:AS7"/>
    <mergeCell ref="AT7:AU7"/>
    <mergeCell ref="AV7:AW7"/>
    <mergeCell ref="AX7:AY7"/>
    <mergeCell ref="AZ7:BA7"/>
    <mergeCell ref="BB7:BC7"/>
    <mergeCell ref="BD7:BE7"/>
    <mergeCell ref="BF7:BG7"/>
    <mergeCell ref="BH7:BI7"/>
    <mergeCell ref="BJ7:BK7"/>
    <mergeCell ref="BL7:BM7"/>
    <mergeCell ref="BN7:BO7"/>
    <mergeCell ref="BP7:BQ7"/>
    <mergeCell ref="BR7:BS7"/>
    <mergeCell ref="BT7:BU7"/>
    <mergeCell ref="BV7:BW7"/>
    <mergeCell ref="BX7:BY7"/>
    <mergeCell ref="BZ7:CA7"/>
    <mergeCell ref="CB7:CC7"/>
    <mergeCell ref="CD7:CE7"/>
    <mergeCell ref="CF7:CG7"/>
    <mergeCell ref="CH7:CI7"/>
    <mergeCell ref="CJ7:CK7"/>
    <mergeCell ref="CL7:CM7"/>
    <mergeCell ref="CN7:CO7"/>
    <mergeCell ref="CP7:CQ7"/>
    <mergeCell ref="CR7:CS7"/>
    <mergeCell ref="CT7:CU7"/>
    <mergeCell ref="CV7:CW7"/>
    <mergeCell ref="CX7:CY7"/>
    <mergeCell ref="CZ7:DA7"/>
    <mergeCell ref="DB7:DC7"/>
    <mergeCell ref="DD7:DE7"/>
    <mergeCell ref="DF7:DG7"/>
    <mergeCell ref="DH7:DI7"/>
    <mergeCell ref="DJ7:DK7"/>
    <mergeCell ref="DL7:DM7"/>
    <mergeCell ref="DN7:DO7"/>
    <mergeCell ref="DP7:DQ7"/>
    <mergeCell ref="DR7:DS7"/>
    <mergeCell ref="DT7:DU7"/>
    <mergeCell ref="DV7:DW7"/>
    <mergeCell ref="DX7:DY7"/>
    <mergeCell ref="DZ7:EA7"/>
    <mergeCell ref="L8:M8"/>
    <mergeCell ref="N8:O8"/>
    <mergeCell ref="P8:Q8"/>
    <mergeCell ref="R8:S8"/>
    <mergeCell ref="T8:U8"/>
    <mergeCell ref="V8:W8"/>
    <mergeCell ref="X8:Y8"/>
    <mergeCell ref="Z8:AA8"/>
    <mergeCell ref="AB8:AC8"/>
    <mergeCell ref="AD8:AE8"/>
    <mergeCell ref="AF8:AG8"/>
    <mergeCell ref="AH8:AI8"/>
    <mergeCell ref="AJ8:AK8"/>
    <mergeCell ref="AL8:AM8"/>
    <mergeCell ref="AN8:AO8"/>
    <mergeCell ref="AP8:AQ8"/>
    <mergeCell ref="AR8:AS8"/>
    <mergeCell ref="AT8:AU8"/>
    <mergeCell ref="AV8:AW8"/>
    <mergeCell ref="AX8:AY8"/>
    <mergeCell ref="AZ8:BA8"/>
    <mergeCell ref="BB8:BC8"/>
    <mergeCell ref="BD8:BE8"/>
    <mergeCell ref="BF8:BG8"/>
    <mergeCell ref="BH8:BI8"/>
    <mergeCell ref="BJ8:BK8"/>
    <mergeCell ref="BL8:BM8"/>
    <mergeCell ref="BN8:BO8"/>
    <mergeCell ref="BP8:BQ8"/>
    <mergeCell ref="BR8:BS8"/>
    <mergeCell ref="BT8:BU8"/>
    <mergeCell ref="BV8:BW8"/>
    <mergeCell ref="BX8:BY8"/>
    <mergeCell ref="BZ8:CA8"/>
    <mergeCell ref="CB8:CC8"/>
    <mergeCell ref="CD8:CE8"/>
    <mergeCell ref="CF8:CG8"/>
    <mergeCell ref="CH8:CI8"/>
    <mergeCell ref="CJ8:CK8"/>
    <mergeCell ref="CL8:CM8"/>
    <mergeCell ref="CN8:CO8"/>
    <mergeCell ref="CP8:CQ8"/>
    <mergeCell ref="CR8:CS8"/>
    <mergeCell ref="CT8:CU8"/>
    <mergeCell ref="CV8:CW8"/>
    <mergeCell ref="CX8:CY8"/>
    <mergeCell ref="CZ8:DA8"/>
    <mergeCell ref="DB8:DC8"/>
    <mergeCell ref="DD8:DE8"/>
    <mergeCell ref="DF8:DG8"/>
    <mergeCell ref="DH8:DI8"/>
    <mergeCell ref="DJ8:DK8"/>
    <mergeCell ref="DL8:DM8"/>
    <mergeCell ref="DN8:DO8"/>
    <mergeCell ref="DP8:DQ8"/>
    <mergeCell ref="DR8:DS8"/>
    <mergeCell ref="DT8:DU8"/>
    <mergeCell ref="DV8:DW8"/>
    <mergeCell ref="DX8:DY8"/>
    <mergeCell ref="DZ8:EA8"/>
    <mergeCell ref="F9:G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R9:AS9"/>
    <mergeCell ref="AT9:AU9"/>
    <mergeCell ref="AV9:AW9"/>
    <mergeCell ref="AX9:AY9"/>
    <mergeCell ref="AZ9:BA9"/>
    <mergeCell ref="BB9:BC9"/>
    <mergeCell ref="BD9:BE9"/>
    <mergeCell ref="BF9:BG9"/>
    <mergeCell ref="BH9:BI9"/>
    <mergeCell ref="BJ9:BK9"/>
    <mergeCell ref="BL9:BM9"/>
    <mergeCell ref="BN9:BO9"/>
    <mergeCell ref="BP9:BQ9"/>
    <mergeCell ref="BR9:BS9"/>
    <mergeCell ref="BT9:BU9"/>
    <mergeCell ref="BV9:BW9"/>
    <mergeCell ref="BX9:BY9"/>
    <mergeCell ref="BZ9:CA9"/>
    <mergeCell ref="CB9:CC9"/>
    <mergeCell ref="CD9:CE9"/>
    <mergeCell ref="CF9:CG9"/>
    <mergeCell ref="CH9:CI9"/>
    <mergeCell ref="CJ9:CK9"/>
    <mergeCell ref="CL9:CM9"/>
    <mergeCell ref="CN9:CO9"/>
    <mergeCell ref="CP9:CQ9"/>
    <mergeCell ref="CR9:CS9"/>
    <mergeCell ref="CT9:CU9"/>
    <mergeCell ref="CV9:CW9"/>
    <mergeCell ref="CX9:CY9"/>
    <mergeCell ref="CZ9:DA9"/>
    <mergeCell ref="DB9:DC9"/>
    <mergeCell ref="DD9:DE9"/>
    <mergeCell ref="DF9:DG9"/>
    <mergeCell ref="DH9:DI9"/>
    <mergeCell ref="DJ9:DK9"/>
    <mergeCell ref="DL9:DM9"/>
    <mergeCell ref="DN9:DO9"/>
    <mergeCell ref="DP9:DQ9"/>
    <mergeCell ref="DR9:DS9"/>
    <mergeCell ref="DT9:DU9"/>
    <mergeCell ref="DV9:DW9"/>
    <mergeCell ref="DX9:DY9"/>
    <mergeCell ref="DZ9:EA9"/>
    <mergeCell ref="H10:K10"/>
    <mergeCell ref="H11:K11"/>
    <mergeCell ref="F13:F14"/>
    <mergeCell ref="G13:G14"/>
    <mergeCell ref="H13:H14"/>
    <mergeCell ref="I13:I14"/>
    <mergeCell ref="L13:AI13"/>
    <mergeCell ref="AJ13:BG13"/>
    <mergeCell ref="BH13:CE13"/>
    <mergeCell ref="CF13:DC13"/>
    <mergeCell ref="DD13:EA13"/>
    <mergeCell ref="L14:M14"/>
    <mergeCell ref="N14:O14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H14:AI14"/>
    <mergeCell ref="AJ14:AK14"/>
    <mergeCell ref="AL14:AM14"/>
    <mergeCell ref="AN14:AO14"/>
    <mergeCell ref="AP14:AQ14"/>
    <mergeCell ref="AR14:AS14"/>
    <mergeCell ref="AT14:AU14"/>
    <mergeCell ref="AV14:AW14"/>
    <mergeCell ref="AX14:AY14"/>
    <mergeCell ref="AZ14:BA14"/>
    <mergeCell ref="BB14:BC14"/>
    <mergeCell ref="BD14:BE14"/>
    <mergeCell ref="BF14:BG14"/>
    <mergeCell ref="BH14:BI14"/>
    <mergeCell ref="BJ14:BK14"/>
    <mergeCell ref="CP14:CQ14"/>
    <mergeCell ref="CR14:CS14"/>
    <mergeCell ref="CT14:CU14"/>
    <mergeCell ref="BL14:BM14"/>
    <mergeCell ref="BN14:BO14"/>
    <mergeCell ref="BP14:BQ14"/>
    <mergeCell ref="BR14:BS14"/>
    <mergeCell ref="BT14:BU14"/>
    <mergeCell ref="BV14:BW14"/>
    <mergeCell ref="BX14:BY14"/>
    <mergeCell ref="BZ14:CA14"/>
    <mergeCell ref="CB14:CC14"/>
    <mergeCell ref="DN14:DO14"/>
    <mergeCell ref="DP14:DQ14"/>
    <mergeCell ref="DR14:DS14"/>
    <mergeCell ref="DT14:DU14"/>
    <mergeCell ref="DV14:DW14"/>
    <mergeCell ref="DX14:DY14"/>
    <mergeCell ref="DZ14:EA14"/>
    <mergeCell ref="F18:G18"/>
    <mergeCell ref="G20:K20"/>
    <mergeCell ref="CV14:CW14"/>
    <mergeCell ref="CX14:CY14"/>
    <mergeCell ref="CZ14:DA14"/>
    <mergeCell ref="DB14:DC14"/>
    <mergeCell ref="DD14:DE14"/>
    <mergeCell ref="DF14:DG14"/>
    <mergeCell ref="DH14:DI14"/>
    <mergeCell ref="DJ14:DK14"/>
    <mergeCell ref="DL14:DM14"/>
    <mergeCell ref="CD14:CE14"/>
    <mergeCell ref="CF14:CG14"/>
    <mergeCell ref="CH14:CI14"/>
    <mergeCell ref="CJ14:CK14"/>
    <mergeCell ref="CL14:CM14"/>
    <mergeCell ref="CN14:CO1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9"/>
  <sheetViews>
    <sheetView zoomScaleNormal="100" workbookViewId="0">
      <selection activeCell="I16" sqref="I16"/>
    </sheetView>
  </sheetViews>
  <sheetFormatPr baseColWidth="10" defaultColWidth="8.83203125" defaultRowHeight="15" x14ac:dyDescent="0.2"/>
  <cols>
    <col min="1" max="1025" width="9.1640625" customWidth="1"/>
  </cols>
  <sheetData>
    <row r="1" spans="1:19" s="16" customFormat="1" ht="60" customHeight="1" x14ac:dyDescent="0.2">
      <c r="A1" s="14" t="s">
        <v>250</v>
      </c>
      <c r="B1" s="14" t="s">
        <v>251</v>
      </c>
      <c r="C1" s="14" t="s">
        <v>252</v>
      </c>
      <c r="D1" s="14" t="s">
        <v>253</v>
      </c>
      <c r="E1" s="14" t="s">
        <v>254</v>
      </c>
      <c r="F1" s="14" t="s">
        <v>255</v>
      </c>
      <c r="G1" s="232" t="s">
        <v>112</v>
      </c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</row>
    <row r="2" spans="1:19" x14ac:dyDescent="0.2">
      <c r="A2" s="6"/>
      <c r="B2" s="6"/>
      <c r="C2" s="6"/>
      <c r="D2" s="6"/>
      <c r="E2" s="17">
        <v>0.75</v>
      </c>
      <c r="F2" s="17">
        <v>0.25</v>
      </c>
      <c r="G2" s="6" t="s">
        <v>145</v>
      </c>
      <c r="H2" s="6" t="s">
        <v>146</v>
      </c>
      <c r="I2" s="6" t="s">
        <v>147</v>
      </c>
      <c r="J2" s="6" t="s">
        <v>148</v>
      </c>
      <c r="K2" s="6" t="s">
        <v>149</v>
      </c>
      <c r="L2" s="6" t="s">
        <v>150</v>
      </c>
      <c r="M2" s="6" t="s">
        <v>151</v>
      </c>
      <c r="N2" s="6" t="s">
        <v>256</v>
      </c>
      <c r="O2" s="6" t="s">
        <v>153</v>
      </c>
      <c r="P2" s="6" t="s">
        <v>154</v>
      </c>
      <c r="Q2" s="6" t="s">
        <v>155</v>
      </c>
      <c r="R2" s="6" t="s">
        <v>257</v>
      </c>
    </row>
    <row r="3" spans="1:19" x14ac:dyDescent="0.2">
      <c r="A3" s="224" t="s">
        <v>258</v>
      </c>
      <c r="B3" s="224"/>
      <c r="C3" s="224"/>
      <c r="D3" s="224"/>
      <c r="E3" s="224"/>
      <c r="F3" s="224"/>
      <c r="G3" s="17">
        <v>0.1</v>
      </c>
      <c r="H3" s="17">
        <v>0.2</v>
      </c>
      <c r="I3" s="17">
        <v>0.3</v>
      </c>
      <c r="J3" s="17">
        <v>0.5</v>
      </c>
      <c r="K3" s="17">
        <v>0.7</v>
      </c>
      <c r="L3" s="17">
        <v>0.85</v>
      </c>
      <c r="M3" s="17">
        <v>1</v>
      </c>
      <c r="N3" s="17">
        <v>1</v>
      </c>
      <c r="O3" s="17">
        <v>1</v>
      </c>
      <c r="P3" s="17">
        <v>1</v>
      </c>
      <c r="Q3" s="17">
        <v>1</v>
      </c>
      <c r="R3" s="17">
        <v>1</v>
      </c>
      <c r="S3" s="120"/>
    </row>
    <row r="4" spans="1:19" x14ac:dyDescent="0.2">
      <c r="A4" s="5" t="s">
        <v>259</v>
      </c>
      <c r="B4" s="6">
        <v>30</v>
      </c>
      <c r="C4" s="6">
        <v>240</v>
      </c>
      <c r="D4" s="6">
        <v>7200</v>
      </c>
      <c r="E4" s="6">
        <v>5400</v>
      </c>
      <c r="F4" s="6">
        <v>1800</v>
      </c>
      <c r="G4" s="11">
        <v>720</v>
      </c>
      <c r="H4" s="11">
        <v>1440</v>
      </c>
      <c r="I4" s="11">
        <v>2160</v>
      </c>
      <c r="J4" s="11">
        <v>3600</v>
      </c>
      <c r="K4" s="11">
        <v>5040</v>
      </c>
      <c r="L4" s="11">
        <v>6120</v>
      </c>
      <c r="M4" s="11">
        <v>7200</v>
      </c>
      <c r="N4" s="11">
        <v>7200</v>
      </c>
      <c r="O4" s="11">
        <v>7200</v>
      </c>
      <c r="P4" s="11">
        <v>7200</v>
      </c>
      <c r="Q4" s="11">
        <v>7200</v>
      </c>
      <c r="R4" s="11">
        <v>7200</v>
      </c>
      <c r="S4" s="19"/>
    </row>
    <row r="5" spans="1:19" x14ac:dyDescent="0.2">
      <c r="A5" s="5" t="s">
        <v>260</v>
      </c>
      <c r="B5" s="6">
        <v>15</v>
      </c>
      <c r="C5" s="6">
        <v>120</v>
      </c>
      <c r="D5" s="6">
        <v>3600</v>
      </c>
      <c r="E5" s="6">
        <v>2700</v>
      </c>
      <c r="F5" s="6">
        <v>900</v>
      </c>
      <c r="G5" s="11">
        <v>360</v>
      </c>
      <c r="H5" s="11">
        <v>720</v>
      </c>
      <c r="I5" s="11">
        <v>1080</v>
      </c>
      <c r="J5" s="11">
        <v>1800</v>
      </c>
      <c r="K5" s="11">
        <v>2520</v>
      </c>
      <c r="L5" s="11">
        <v>3060</v>
      </c>
      <c r="M5" s="11">
        <v>3600</v>
      </c>
      <c r="N5" s="11">
        <v>3600</v>
      </c>
      <c r="O5" s="11">
        <v>3600</v>
      </c>
      <c r="P5" s="11">
        <v>3600</v>
      </c>
      <c r="Q5" s="11">
        <v>3600</v>
      </c>
      <c r="R5" s="11">
        <v>3600</v>
      </c>
      <c r="S5" s="19"/>
    </row>
    <row r="6" spans="1:19" x14ac:dyDescent="0.2">
      <c r="A6" s="5" t="s">
        <v>261</v>
      </c>
      <c r="B6" s="6">
        <v>5</v>
      </c>
      <c r="C6" s="6">
        <v>40</v>
      </c>
      <c r="D6" s="6">
        <v>1200</v>
      </c>
      <c r="E6" s="6">
        <v>900</v>
      </c>
      <c r="F6" s="6">
        <v>300</v>
      </c>
      <c r="G6" s="11">
        <v>120</v>
      </c>
      <c r="H6" s="11">
        <v>240</v>
      </c>
      <c r="I6" s="11">
        <v>360</v>
      </c>
      <c r="J6" s="11">
        <v>600</v>
      </c>
      <c r="K6" s="11">
        <v>840</v>
      </c>
      <c r="L6" s="11">
        <v>1020</v>
      </c>
      <c r="M6" s="11">
        <v>1200</v>
      </c>
      <c r="N6" s="11">
        <v>1200</v>
      </c>
      <c r="O6" s="11">
        <v>1200</v>
      </c>
      <c r="P6" s="11">
        <v>1200</v>
      </c>
      <c r="Q6" s="11">
        <v>1200</v>
      </c>
      <c r="R6" s="11">
        <v>1200</v>
      </c>
      <c r="S6" s="19"/>
    </row>
    <row r="7" spans="1:19" x14ac:dyDescent="0.2">
      <c r="A7" s="5" t="s">
        <v>262</v>
      </c>
      <c r="B7" s="6"/>
      <c r="C7" s="6">
        <v>400</v>
      </c>
      <c r="D7" s="6"/>
      <c r="E7" s="6"/>
      <c r="F7" s="6"/>
      <c r="G7" s="11">
        <v>1200.0999999999999</v>
      </c>
      <c r="H7" s="11">
        <v>2400.1999999999998</v>
      </c>
      <c r="I7" s="11">
        <v>3600.3</v>
      </c>
      <c r="J7" s="11">
        <v>6000.5</v>
      </c>
      <c r="K7" s="11">
        <v>8400.7000000000007</v>
      </c>
      <c r="L7" s="11">
        <v>10200.85</v>
      </c>
      <c r="M7" s="11">
        <v>12001</v>
      </c>
      <c r="N7" s="11">
        <v>12001</v>
      </c>
      <c r="O7" s="11">
        <v>12001</v>
      </c>
      <c r="P7" s="11">
        <v>12001</v>
      </c>
      <c r="Q7" s="11">
        <v>12001</v>
      </c>
      <c r="R7" s="11">
        <v>12001</v>
      </c>
      <c r="S7" s="19"/>
    </row>
    <row r="8" spans="1:19" x14ac:dyDescent="0.2">
      <c r="A8" s="5" t="s">
        <v>263</v>
      </c>
      <c r="B8" s="6" t="s">
        <v>264</v>
      </c>
      <c r="C8" s="6">
        <v>17.5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9" x14ac:dyDescent="0.2">
      <c r="A9" s="5"/>
      <c r="B9" s="6" t="s">
        <v>265</v>
      </c>
      <c r="C9" s="6">
        <v>7.5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</sheetData>
  <mergeCells count="2">
    <mergeCell ref="G1:R1"/>
    <mergeCell ref="A3:F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7"/>
  <sheetViews>
    <sheetView zoomScaleNormal="100" workbookViewId="0">
      <selection activeCell="J14" sqref="J14"/>
    </sheetView>
  </sheetViews>
  <sheetFormatPr baseColWidth="10" defaultColWidth="8.83203125" defaultRowHeight="15" x14ac:dyDescent="0.2"/>
  <cols>
    <col min="1" max="1025" width="9.1640625" customWidth="1"/>
  </cols>
  <sheetData>
    <row r="1" spans="1:16" ht="60" customHeight="1" x14ac:dyDescent="0.2">
      <c r="A1" s="245" t="s">
        <v>250</v>
      </c>
      <c r="B1" s="245" t="s">
        <v>251</v>
      </c>
      <c r="C1" s="245" t="s">
        <v>266</v>
      </c>
      <c r="D1" s="245" t="s">
        <v>267</v>
      </c>
      <c r="E1" s="16" t="s">
        <v>254</v>
      </c>
      <c r="F1" s="16" t="s">
        <v>255</v>
      </c>
      <c r="G1" s="244" t="s">
        <v>112</v>
      </c>
      <c r="H1" s="244"/>
      <c r="I1" s="244" t="s">
        <v>113</v>
      </c>
      <c r="J1" s="244"/>
      <c r="K1" s="244" t="s">
        <v>114</v>
      </c>
      <c r="L1" s="244"/>
      <c r="M1" s="244" t="s">
        <v>115</v>
      </c>
      <c r="N1" s="244"/>
      <c r="O1" s="244" t="s">
        <v>116</v>
      </c>
      <c r="P1" s="244"/>
    </row>
    <row r="2" spans="1:16" ht="48" x14ac:dyDescent="0.2">
      <c r="A2" s="245"/>
      <c r="B2" s="245"/>
      <c r="C2" s="245"/>
      <c r="D2" s="245"/>
      <c r="E2" s="153" t="s">
        <v>269</v>
      </c>
      <c r="F2" s="153" t="s">
        <v>270</v>
      </c>
      <c r="G2" s="16" t="s">
        <v>254</v>
      </c>
      <c r="H2" s="16" t="s">
        <v>255</v>
      </c>
      <c r="I2" s="16" t="s">
        <v>254</v>
      </c>
      <c r="J2" s="16" t="s">
        <v>255</v>
      </c>
      <c r="K2" s="16" t="s">
        <v>254</v>
      </c>
      <c r="L2" s="16" t="s">
        <v>255</v>
      </c>
      <c r="M2" s="16" t="s">
        <v>254</v>
      </c>
      <c r="N2" s="16" t="s">
        <v>255</v>
      </c>
      <c r="O2" s="16" t="s">
        <v>254</v>
      </c>
      <c r="P2" s="16" t="s">
        <v>255</v>
      </c>
    </row>
    <row r="3" spans="1:16" x14ac:dyDescent="0.2">
      <c r="A3" t="s">
        <v>259</v>
      </c>
      <c r="B3">
        <v>30</v>
      </c>
      <c r="C3">
        <v>240</v>
      </c>
      <c r="D3">
        <v>7200</v>
      </c>
      <c r="E3">
        <v>5400</v>
      </c>
      <c r="F3">
        <v>1800</v>
      </c>
      <c r="G3" s="19">
        <v>66562</v>
      </c>
      <c r="H3" s="19">
        <v>51770</v>
      </c>
      <c r="I3" s="19">
        <v>106191</v>
      </c>
      <c r="J3" s="19">
        <v>82593</v>
      </c>
      <c r="K3" s="19">
        <v>120042</v>
      </c>
      <c r="L3" s="19">
        <v>93366</v>
      </c>
      <c r="M3" s="19">
        <v>122735</v>
      </c>
      <c r="N3" s="19">
        <v>104139</v>
      </c>
      <c r="O3" s="19">
        <v>147744</v>
      </c>
      <c r="P3" s="19">
        <v>114912</v>
      </c>
    </row>
    <row r="4" spans="1:16" x14ac:dyDescent="0.2">
      <c r="A4" t="s">
        <v>260</v>
      </c>
      <c r="B4">
        <v>15</v>
      </c>
      <c r="C4">
        <v>120</v>
      </c>
      <c r="D4">
        <v>3600</v>
      </c>
      <c r="E4">
        <v>2700</v>
      </c>
      <c r="F4">
        <v>900</v>
      </c>
      <c r="G4" s="19">
        <v>33281</v>
      </c>
      <c r="H4" s="19">
        <v>25885</v>
      </c>
      <c r="I4" s="19">
        <v>53096</v>
      </c>
      <c r="J4" s="19">
        <v>41297</v>
      </c>
      <c r="K4" s="19">
        <v>60021</v>
      </c>
      <c r="L4" s="19">
        <v>46683</v>
      </c>
      <c r="M4" s="19">
        <v>61368</v>
      </c>
      <c r="N4" s="19">
        <v>52070</v>
      </c>
      <c r="O4" s="19">
        <v>73872</v>
      </c>
      <c r="P4" s="19">
        <v>57456</v>
      </c>
    </row>
    <row r="5" spans="1:16" x14ac:dyDescent="0.2">
      <c r="A5" t="s">
        <v>261</v>
      </c>
      <c r="B5">
        <v>5</v>
      </c>
      <c r="C5">
        <v>40</v>
      </c>
      <c r="D5">
        <v>1200</v>
      </c>
      <c r="E5">
        <v>900</v>
      </c>
      <c r="F5">
        <v>300</v>
      </c>
      <c r="G5" s="19">
        <v>11094</v>
      </c>
      <c r="H5" s="19">
        <v>8628</v>
      </c>
      <c r="I5" s="19">
        <v>17699</v>
      </c>
      <c r="J5" s="19">
        <v>13766</v>
      </c>
      <c r="K5" s="19">
        <v>20007</v>
      </c>
      <c r="L5" s="19">
        <v>15561</v>
      </c>
      <c r="M5" s="19">
        <v>20456</v>
      </c>
      <c r="N5" s="19">
        <v>17357</v>
      </c>
      <c r="O5" s="19">
        <v>24624</v>
      </c>
      <c r="P5" s="19">
        <v>19152</v>
      </c>
    </row>
    <row r="6" spans="1:16" x14ac:dyDescent="0.2">
      <c r="A6" s="243" t="s">
        <v>271</v>
      </c>
      <c r="B6" s="243"/>
      <c r="C6" s="243"/>
      <c r="D6" s="243"/>
      <c r="E6">
        <f>SUM(E3:E5)</f>
        <v>9000</v>
      </c>
      <c r="F6">
        <f>SUM(F3:F5)</f>
        <v>3000</v>
      </c>
      <c r="G6" s="19">
        <v>110936</v>
      </c>
      <c r="H6" s="19">
        <v>86284</v>
      </c>
      <c r="I6" s="19">
        <v>176985</v>
      </c>
      <c r="J6" s="19">
        <v>137655</v>
      </c>
      <c r="K6" s="19">
        <f t="shared" ref="K6:P6" si="0">SUM(K3:K5)</f>
        <v>200070</v>
      </c>
      <c r="L6" s="19">
        <f t="shared" si="0"/>
        <v>155610</v>
      </c>
      <c r="M6" s="19">
        <f t="shared" si="0"/>
        <v>204559</v>
      </c>
      <c r="N6" s="19">
        <f t="shared" si="0"/>
        <v>173566</v>
      </c>
      <c r="O6" s="19">
        <f t="shared" si="0"/>
        <v>246240</v>
      </c>
      <c r="P6" s="19">
        <f t="shared" si="0"/>
        <v>191520</v>
      </c>
    </row>
    <row r="7" spans="1:16" x14ac:dyDescent="0.2">
      <c r="A7" s="243" t="s">
        <v>272</v>
      </c>
      <c r="B7" s="243"/>
      <c r="C7" s="243"/>
      <c r="D7" s="243"/>
      <c r="E7" s="243"/>
      <c r="F7" s="243"/>
      <c r="G7" s="242">
        <f>SUM(G6:H6)</f>
        <v>197220</v>
      </c>
      <c r="H7" s="242"/>
      <c r="I7" s="242">
        <f>SUM(I6:J6)</f>
        <v>314640</v>
      </c>
      <c r="J7" s="242"/>
      <c r="K7" s="242">
        <f>SUM(K6:L6)</f>
        <v>355680</v>
      </c>
      <c r="L7" s="242"/>
      <c r="M7" s="242">
        <f>SUM(M6:N6)</f>
        <v>378125</v>
      </c>
      <c r="N7" s="242"/>
      <c r="O7" s="242">
        <f>SUM(O6:P6)</f>
        <v>437760</v>
      </c>
      <c r="P7" s="242"/>
    </row>
  </sheetData>
  <mergeCells count="16">
    <mergeCell ref="I1:J1"/>
    <mergeCell ref="K1:L1"/>
    <mergeCell ref="M1:N1"/>
    <mergeCell ref="O1:P1"/>
    <mergeCell ref="A6:D6"/>
    <mergeCell ref="A1:A2"/>
    <mergeCell ref="B1:B2"/>
    <mergeCell ref="C1:C2"/>
    <mergeCell ref="D1:D2"/>
    <mergeCell ref="G1:H1"/>
    <mergeCell ref="O7:P7"/>
    <mergeCell ref="A7:F7"/>
    <mergeCell ref="G7:H7"/>
    <mergeCell ref="I7:J7"/>
    <mergeCell ref="K7:L7"/>
    <mergeCell ref="M7:N7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X42"/>
  <sheetViews>
    <sheetView topLeftCell="I28" zoomScaleNormal="100" workbookViewId="0">
      <selection activeCell="O22" sqref="O22"/>
    </sheetView>
  </sheetViews>
  <sheetFormatPr baseColWidth="10" defaultColWidth="8.83203125" defaultRowHeight="15" x14ac:dyDescent="0.2"/>
  <cols>
    <col min="1" max="1" width="9.1640625" customWidth="1"/>
    <col min="2" max="2" width="45.5" customWidth="1"/>
    <col min="3" max="3" width="16.6640625" customWidth="1"/>
    <col min="4" max="4" width="16.5" customWidth="1"/>
    <col min="5" max="5" width="16.33203125" customWidth="1"/>
    <col min="6" max="6" width="9.1640625" customWidth="1"/>
    <col min="7" max="7" width="23.33203125" customWidth="1"/>
    <col min="8" max="10" width="9.1640625" customWidth="1"/>
    <col min="11" max="11" width="32.1640625" customWidth="1"/>
    <col min="12" max="12" width="14.5" customWidth="1"/>
    <col min="13" max="14" width="13.5" customWidth="1"/>
    <col min="15" max="15" width="11" customWidth="1"/>
    <col min="16" max="22" width="9.1640625" customWidth="1"/>
    <col min="23" max="23" width="10.83203125" customWidth="1"/>
    <col min="24" max="24" width="9.1640625" customWidth="1"/>
    <col min="25" max="25" width="10.5" customWidth="1"/>
    <col min="26" max="26" width="10.1640625" customWidth="1"/>
    <col min="27" max="34" width="9.1640625" customWidth="1"/>
    <col min="35" max="35" width="10.83203125" customWidth="1"/>
    <col min="36" max="36" width="9.1640625" customWidth="1"/>
    <col min="37" max="37" width="10.5" customWidth="1"/>
    <col min="38" max="38" width="10.1640625" customWidth="1"/>
    <col min="39" max="46" width="9.1640625" customWidth="1"/>
    <col min="47" max="47" width="10.83203125" customWidth="1"/>
    <col min="48" max="48" width="9.1640625" customWidth="1"/>
    <col min="49" max="49" width="10.5" customWidth="1"/>
    <col min="50" max="50" width="10.1640625" customWidth="1"/>
    <col min="51" max="58" width="9.1640625" customWidth="1"/>
    <col min="59" max="59" width="10.83203125" customWidth="1"/>
    <col min="60" max="60" width="9.1640625" customWidth="1"/>
    <col min="61" max="61" width="10.5" customWidth="1"/>
    <col min="62" max="62" width="10.1640625" customWidth="1"/>
    <col min="63" max="70" width="9.1640625" customWidth="1"/>
    <col min="71" max="71" width="11.33203125" customWidth="1"/>
    <col min="72" max="72" width="9.1640625" customWidth="1"/>
    <col min="73" max="73" width="10.6640625" customWidth="1"/>
    <col min="74" max="74" width="10.1640625" customWidth="1"/>
    <col min="75" max="1025" width="9.1640625" customWidth="1"/>
  </cols>
  <sheetData>
    <row r="1" spans="1:76" x14ac:dyDescent="0.2">
      <c r="K1" s="240" t="s">
        <v>273</v>
      </c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240"/>
      <c r="Z1" s="240"/>
      <c r="AA1" s="240"/>
      <c r="AB1" s="240"/>
      <c r="AC1" s="240"/>
      <c r="AD1" s="240"/>
    </row>
    <row r="2" spans="1:76" x14ac:dyDescent="0.2">
      <c r="K2" s="139"/>
      <c r="L2" s="139"/>
      <c r="M2" s="139"/>
      <c r="N2" s="139"/>
      <c r="O2" s="139"/>
      <c r="P2" s="139"/>
      <c r="Q2" s="139"/>
      <c r="R2" s="139"/>
      <c r="S2" s="247" t="s">
        <v>274</v>
      </c>
      <c r="T2" s="247"/>
      <c r="U2" s="247"/>
      <c r="V2" s="139"/>
      <c r="W2" s="139"/>
      <c r="X2" s="139"/>
      <c r="Y2" s="139"/>
      <c r="Z2" s="139"/>
      <c r="AA2" s="139"/>
      <c r="AB2" s="139"/>
      <c r="AC2" s="139"/>
      <c r="AD2" s="139"/>
    </row>
    <row r="3" spans="1:76" x14ac:dyDescent="0.2"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</row>
    <row r="4" spans="1:76" x14ac:dyDescent="0.2">
      <c r="K4" s="131"/>
      <c r="L4" s="131"/>
      <c r="M4" s="131"/>
      <c r="N4" s="131"/>
      <c r="O4" s="233" t="s">
        <v>112</v>
      </c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3"/>
      <c r="AA4" s="233" t="s">
        <v>113</v>
      </c>
      <c r="AB4" s="233"/>
      <c r="AC4" s="233"/>
      <c r="AD4" s="233"/>
      <c r="AE4" s="233"/>
      <c r="AF4" s="233"/>
      <c r="AG4" s="233"/>
      <c r="AH4" s="233"/>
      <c r="AI4" s="233"/>
      <c r="AJ4" s="233"/>
      <c r="AK4" s="233"/>
      <c r="AL4" s="233"/>
      <c r="AM4" s="233" t="s">
        <v>114</v>
      </c>
      <c r="AN4" s="233"/>
      <c r="AO4" s="233"/>
      <c r="AP4" s="233"/>
      <c r="AQ4" s="233"/>
      <c r="AR4" s="233"/>
      <c r="AS4" s="233"/>
      <c r="AT4" s="233"/>
      <c r="AU4" s="233"/>
      <c r="AV4" s="233"/>
      <c r="AW4" s="233"/>
      <c r="AX4" s="233"/>
      <c r="AY4" s="233" t="s">
        <v>115</v>
      </c>
      <c r="AZ4" s="233"/>
      <c r="BA4" s="233"/>
      <c r="BB4" s="233"/>
      <c r="BC4" s="233"/>
      <c r="BD4" s="233"/>
      <c r="BE4" s="233"/>
      <c r="BF4" s="233"/>
      <c r="BG4" s="233"/>
      <c r="BH4" s="233"/>
      <c r="BI4" s="233"/>
      <c r="BJ4" s="233"/>
      <c r="BK4" s="233" t="s">
        <v>116</v>
      </c>
      <c r="BL4" s="233"/>
      <c r="BM4" s="233"/>
      <c r="BN4" s="233"/>
      <c r="BO4" s="233"/>
      <c r="BP4" s="233"/>
      <c r="BQ4" s="233"/>
      <c r="BR4" s="233"/>
      <c r="BS4" s="233"/>
      <c r="BT4" s="233"/>
      <c r="BU4" s="233"/>
      <c r="BV4" s="233"/>
    </row>
    <row r="5" spans="1:76" s="1" customFormat="1" ht="32" x14ac:dyDescent="0.2">
      <c r="B5" s="34"/>
      <c r="C5" s="39" t="s">
        <v>275</v>
      </c>
      <c r="D5" s="39" t="s">
        <v>276</v>
      </c>
      <c r="E5" s="39" t="s">
        <v>277</v>
      </c>
      <c r="K5" s="6" t="s">
        <v>278</v>
      </c>
      <c r="L5" s="14" t="s">
        <v>279</v>
      </c>
      <c r="M5" s="14" t="s">
        <v>280</v>
      </c>
      <c r="N5" s="14" t="s">
        <v>281</v>
      </c>
      <c r="O5" s="6" t="s">
        <v>145</v>
      </c>
      <c r="P5" s="6" t="s">
        <v>146</v>
      </c>
      <c r="Q5" s="6" t="s">
        <v>147</v>
      </c>
      <c r="R5" s="6" t="s">
        <v>148</v>
      </c>
      <c r="S5" s="6" t="s">
        <v>149</v>
      </c>
      <c r="T5" s="6" t="s">
        <v>150</v>
      </c>
      <c r="U5" s="6" t="s">
        <v>151</v>
      </c>
      <c r="V5" s="6" t="s">
        <v>256</v>
      </c>
      <c r="W5" s="6" t="s">
        <v>153</v>
      </c>
      <c r="X5" s="6" t="s">
        <v>154</v>
      </c>
      <c r="Y5" s="6" t="s">
        <v>155</v>
      </c>
      <c r="Z5" s="6" t="s">
        <v>257</v>
      </c>
      <c r="AA5" s="6" t="s">
        <v>145</v>
      </c>
      <c r="AB5" s="6" t="s">
        <v>146</v>
      </c>
      <c r="AC5" s="6" t="s">
        <v>147</v>
      </c>
      <c r="AD5" s="6" t="s">
        <v>148</v>
      </c>
      <c r="AE5" s="6" t="s">
        <v>149</v>
      </c>
      <c r="AF5" s="6" t="s">
        <v>150</v>
      </c>
      <c r="AG5" s="6" t="s">
        <v>151</v>
      </c>
      <c r="AH5" s="6" t="s">
        <v>256</v>
      </c>
      <c r="AI5" s="6" t="s">
        <v>153</v>
      </c>
      <c r="AJ5" s="6" t="s">
        <v>154</v>
      </c>
      <c r="AK5" s="6" t="s">
        <v>155</v>
      </c>
      <c r="AL5" s="6" t="s">
        <v>257</v>
      </c>
      <c r="AM5" s="6" t="s">
        <v>145</v>
      </c>
      <c r="AN5" s="6" t="s">
        <v>146</v>
      </c>
      <c r="AO5" s="6" t="s">
        <v>147</v>
      </c>
      <c r="AP5" s="6" t="s">
        <v>148</v>
      </c>
      <c r="AQ5" s="6" t="s">
        <v>149</v>
      </c>
      <c r="AR5" s="6" t="s">
        <v>150</v>
      </c>
      <c r="AS5" s="6" t="s">
        <v>151</v>
      </c>
      <c r="AT5" s="6" t="s">
        <v>256</v>
      </c>
      <c r="AU5" s="6" t="s">
        <v>153</v>
      </c>
      <c r="AV5" s="6" t="s">
        <v>154</v>
      </c>
      <c r="AW5" s="6" t="s">
        <v>155</v>
      </c>
      <c r="AX5" s="6" t="s">
        <v>257</v>
      </c>
      <c r="AY5" s="6" t="s">
        <v>145</v>
      </c>
      <c r="AZ5" s="6" t="s">
        <v>146</v>
      </c>
      <c r="BA5" s="6" t="s">
        <v>147</v>
      </c>
      <c r="BB5" s="6" t="s">
        <v>148</v>
      </c>
      <c r="BC5" s="6" t="s">
        <v>149</v>
      </c>
      <c r="BD5" s="6" t="s">
        <v>150</v>
      </c>
      <c r="BE5" s="6" t="s">
        <v>151</v>
      </c>
      <c r="BF5" s="6" t="s">
        <v>256</v>
      </c>
      <c r="BG5" s="6" t="s">
        <v>153</v>
      </c>
      <c r="BH5" s="6" t="s">
        <v>154</v>
      </c>
      <c r="BI5" s="6" t="s">
        <v>155</v>
      </c>
      <c r="BJ5" s="6" t="s">
        <v>257</v>
      </c>
      <c r="BK5" s="6" t="s">
        <v>145</v>
      </c>
      <c r="BL5" s="6" t="s">
        <v>146</v>
      </c>
      <c r="BM5" s="6" t="s">
        <v>147</v>
      </c>
      <c r="BN5" s="6" t="s">
        <v>148</v>
      </c>
      <c r="BO5" s="6" t="s">
        <v>149</v>
      </c>
      <c r="BP5" s="6" t="s">
        <v>150</v>
      </c>
      <c r="BQ5" s="6" t="s">
        <v>151</v>
      </c>
      <c r="BR5" s="6" t="s">
        <v>256</v>
      </c>
      <c r="BS5" s="6" t="s">
        <v>153</v>
      </c>
      <c r="BT5" s="6" t="s">
        <v>154</v>
      </c>
      <c r="BU5" s="6" t="s">
        <v>155</v>
      </c>
      <c r="BV5" s="6" t="s">
        <v>257</v>
      </c>
    </row>
    <row r="6" spans="1:76" x14ac:dyDescent="0.2">
      <c r="A6" s="1"/>
      <c r="B6" s="154" t="s">
        <v>282</v>
      </c>
      <c r="C6" s="42">
        <v>0.05</v>
      </c>
      <c r="D6" s="50">
        <v>0.3</v>
      </c>
      <c r="E6" s="42">
        <f>C6*1.3</f>
        <v>6.5000000000000002E-2</v>
      </c>
      <c r="G6" s="139" t="s">
        <v>283</v>
      </c>
      <c r="H6" s="1">
        <v>0.02</v>
      </c>
      <c r="K6" s="6" t="s">
        <v>284</v>
      </c>
      <c r="L6" s="6"/>
      <c r="M6" s="6"/>
      <c r="N6" s="6"/>
      <c r="O6" s="17">
        <v>0.1</v>
      </c>
      <c r="P6" s="17">
        <v>0.2</v>
      </c>
      <c r="Q6" s="17">
        <v>0.3</v>
      </c>
      <c r="R6" s="17">
        <v>0.5</v>
      </c>
      <c r="S6" s="17">
        <v>0.7</v>
      </c>
      <c r="T6" s="17">
        <v>0.85</v>
      </c>
      <c r="U6" s="17">
        <v>1</v>
      </c>
      <c r="V6" s="17">
        <v>1</v>
      </c>
      <c r="W6" s="17">
        <v>1</v>
      </c>
      <c r="X6" s="17">
        <v>1</v>
      </c>
      <c r="Y6" s="17">
        <v>1</v>
      </c>
      <c r="Z6" s="17">
        <v>1</v>
      </c>
      <c r="AA6" s="17">
        <v>1.1499999999999999</v>
      </c>
      <c r="AB6" s="17">
        <v>1.1499999999999999</v>
      </c>
      <c r="AC6" s="17">
        <v>1.1499999999999999</v>
      </c>
      <c r="AD6" s="17">
        <v>1.1499999999999999</v>
      </c>
      <c r="AE6" s="17">
        <v>1.1499999999999999</v>
      </c>
      <c r="AF6" s="17">
        <v>1.1499999999999999</v>
      </c>
      <c r="AG6" s="17">
        <v>1.1499999999999999</v>
      </c>
      <c r="AH6" s="17">
        <v>1.1499999999999999</v>
      </c>
      <c r="AI6" s="17">
        <v>1.1499999999999999</v>
      </c>
      <c r="AJ6" s="17">
        <v>1.1499999999999999</v>
      </c>
      <c r="AK6" s="17">
        <v>1.1499999999999999</v>
      </c>
      <c r="AL6" s="17">
        <v>1.1499999999999999</v>
      </c>
      <c r="AM6" s="17">
        <v>1.3</v>
      </c>
      <c r="AN6" s="17">
        <v>1.3</v>
      </c>
      <c r="AO6" s="17">
        <v>1.3</v>
      </c>
      <c r="AP6" s="17">
        <v>1.3</v>
      </c>
      <c r="AQ6" s="17">
        <v>1.3</v>
      </c>
      <c r="AR6" s="17">
        <v>1.3</v>
      </c>
      <c r="AS6" s="17">
        <v>1.3</v>
      </c>
      <c r="AT6" s="17">
        <v>1.3</v>
      </c>
      <c r="AU6" s="17">
        <v>1.3</v>
      </c>
      <c r="AV6" s="17">
        <v>1.3</v>
      </c>
      <c r="AW6" s="17">
        <v>1.3</v>
      </c>
      <c r="AX6" s="17">
        <v>1.3</v>
      </c>
      <c r="AY6" s="17">
        <v>1.45</v>
      </c>
      <c r="AZ6" s="17">
        <v>1.45</v>
      </c>
      <c r="BA6" s="17">
        <v>1.45</v>
      </c>
      <c r="BB6" s="17">
        <v>1.45</v>
      </c>
      <c r="BC6" s="17">
        <v>1.45</v>
      </c>
      <c r="BD6" s="17">
        <v>1.45</v>
      </c>
      <c r="BE6" s="17">
        <v>1.45</v>
      </c>
      <c r="BF6" s="17">
        <v>1.45</v>
      </c>
      <c r="BG6" s="17">
        <v>1.45</v>
      </c>
      <c r="BH6" s="17">
        <v>1.45</v>
      </c>
      <c r="BI6" s="17">
        <v>1.45</v>
      </c>
      <c r="BJ6" s="17">
        <v>1.45</v>
      </c>
      <c r="BK6" s="17">
        <v>1.6</v>
      </c>
      <c r="BL6" s="17">
        <v>1.6</v>
      </c>
      <c r="BM6" s="17">
        <v>1.6</v>
      </c>
      <c r="BN6" s="17">
        <v>1.6</v>
      </c>
      <c r="BO6" s="17">
        <v>1.6</v>
      </c>
      <c r="BP6" s="17">
        <v>1.6</v>
      </c>
      <c r="BQ6" s="17">
        <v>1.6</v>
      </c>
      <c r="BR6" s="17">
        <v>1.6</v>
      </c>
      <c r="BS6" s="17">
        <v>1.6</v>
      </c>
      <c r="BT6" s="17">
        <v>1.6</v>
      </c>
      <c r="BU6" s="17">
        <v>1.6</v>
      </c>
      <c r="BV6" s="17">
        <v>1.6</v>
      </c>
    </row>
    <row r="7" spans="1:76" ht="18" customHeight="1" x14ac:dyDescent="0.2">
      <c r="B7" s="155" t="s">
        <v>285</v>
      </c>
      <c r="C7" s="42">
        <f>H10</f>
        <v>0.125</v>
      </c>
      <c r="D7" s="50">
        <v>0.3</v>
      </c>
      <c r="E7" s="42">
        <f>C7*1.3</f>
        <v>0.16250000000000001</v>
      </c>
      <c r="G7" t="s">
        <v>286</v>
      </c>
      <c r="H7" s="1">
        <v>2.5</v>
      </c>
      <c r="K7" s="131" t="s">
        <v>287</v>
      </c>
      <c r="L7" s="131">
        <v>500</v>
      </c>
      <c r="M7" s="131">
        <f>L7*8</f>
        <v>4000</v>
      </c>
      <c r="N7" s="131">
        <f>M7*30</f>
        <v>120000</v>
      </c>
      <c r="O7" s="131">
        <f t="shared" ref="O7:AT7" si="0">$N$7*O6</f>
        <v>12000</v>
      </c>
      <c r="P7" s="131">
        <f t="shared" si="0"/>
        <v>24000</v>
      </c>
      <c r="Q7" s="131">
        <f t="shared" si="0"/>
        <v>36000</v>
      </c>
      <c r="R7" s="131">
        <f t="shared" si="0"/>
        <v>60000</v>
      </c>
      <c r="S7" s="131">
        <f t="shared" si="0"/>
        <v>84000</v>
      </c>
      <c r="T7" s="131">
        <f t="shared" si="0"/>
        <v>102000</v>
      </c>
      <c r="U7" s="131">
        <f t="shared" si="0"/>
        <v>120000</v>
      </c>
      <c r="V7" s="131">
        <f t="shared" si="0"/>
        <v>120000</v>
      </c>
      <c r="W7" s="131">
        <f t="shared" si="0"/>
        <v>120000</v>
      </c>
      <c r="X7" s="131">
        <f t="shared" si="0"/>
        <v>120000</v>
      </c>
      <c r="Y7" s="131">
        <f t="shared" si="0"/>
        <v>120000</v>
      </c>
      <c r="Z7" s="131">
        <f t="shared" si="0"/>
        <v>120000</v>
      </c>
      <c r="AA7" s="131">
        <f t="shared" si="0"/>
        <v>138000</v>
      </c>
      <c r="AB7" s="131">
        <f t="shared" si="0"/>
        <v>138000</v>
      </c>
      <c r="AC7" s="131">
        <f t="shared" si="0"/>
        <v>138000</v>
      </c>
      <c r="AD7" s="131">
        <f t="shared" si="0"/>
        <v>138000</v>
      </c>
      <c r="AE7" s="131">
        <f t="shared" si="0"/>
        <v>138000</v>
      </c>
      <c r="AF7" s="131">
        <f t="shared" si="0"/>
        <v>138000</v>
      </c>
      <c r="AG7" s="131">
        <f t="shared" si="0"/>
        <v>138000</v>
      </c>
      <c r="AH7" s="131">
        <f t="shared" si="0"/>
        <v>138000</v>
      </c>
      <c r="AI7" s="131">
        <f t="shared" si="0"/>
        <v>138000</v>
      </c>
      <c r="AJ7" s="131">
        <f t="shared" si="0"/>
        <v>138000</v>
      </c>
      <c r="AK7" s="131">
        <f t="shared" si="0"/>
        <v>138000</v>
      </c>
      <c r="AL7" s="131">
        <f t="shared" si="0"/>
        <v>138000</v>
      </c>
      <c r="AM7" s="131">
        <f t="shared" si="0"/>
        <v>156000</v>
      </c>
      <c r="AN7" s="131">
        <f t="shared" si="0"/>
        <v>156000</v>
      </c>
      <c r="AO7" s="131">
        <f t="shared" si="0"/>
        <v>156000</v>
      </c>
      <c r="AP7" s="131">
        <f t="shared" si="0"/>
        <v>156000</v>
      </c>
      <c r="AQ7" s="131">
        <f t="shared" si="0"/>
        <v>156000</v>
      </c>
      <c r="AR7" s="131">
        <f t="shared" si="0"/>
        <v>156000</v>
      </c>
      <c r="AS7" s="131">
        <f t="shared" si="0"/>
        <v>156000</v>
      </c>
      <c r="AT7" s="131">
        <f t="shared" si="0"/>
        <v>156000</v>
      </c>
      <c r="AU7" s="131">
        <f t="shared" ref="AU7:BV7" si="1">$N$7*AU6</f>
        <v>156000</v>
      </c>
      <c r="AV7" s="131">
        <f t="shared" si="1"/>
        <v>156000</v>
      </c>
      <c r="AW7" s="131">
        <f t="shared" si="1"/>
        <v>156000</v>
      </c>
      <c r="AX7" s="131">
        <f t="shared" si="1"/>
        <v>156000</v>
      </c>
      <c r="AY7" s="131">
        <f t="shared" si="1"/>
        <v>174000</v>
      </c>
      <c r="AZ7" s="131">
        <f t="shared" si="1"/>
        <v>174000</v>
      </c>
      <c r="BA7" s="131">
        <f t="shared" si="1"/>
        <v>174000</v>
      </c>
      <c r="BB7" s="131">
        <f t="shared" si="1"/>
        <v>174000</v>
      </c>
      <c r="BC7" s="131">
        <f t="shared" si="1"/>
        <v>174000</v>
      </c>
      <c r="BD7" s="131">
        <f t="shared" si="1"/>
        <v>174000</v>
      </c>
      <c r="BE7" s="131">
        <f t="shared" si="1"/>
        <v>174000</v>
      </c>
      <c r="BF7" s="131">
        <f t="shared" si="1"/>
        <v>174000</v>
      </c>
      <c r="BG7" s="131">
        <f t="shared" si="1"/>
        <v>174000</v>
      </c>
      <c r="BH7" s="131">
        <f t="shared" si="1"/>
        <v>174000</v>
      </c>
      <c r="BI7" s="131">
        <f t="shared" si="1"/>
        <v>174000</v>
      </c>
      <c r="BJ7" s="131">
        <f t="shared" si="1"/>
        <v>174000</v>
      </c>
      <c r="BK7" s="131">
        <f t="shared" si="1"/>
        <v>192000</v>
      </c>
      <c r="BL7" s="131">
        <f t="shared" si="1"/>
        <v>192000</v>
      </c>
      <c r="BM7" s="131">
        <f t="shared" si="1"/>
        <v>192000</v>
      </c>
      <c r="BN7" s="131">
        <f t="shared" si="1"/>
        <v>192000</v>
      </c>
      <c r="BO7" s="131">
        <f t="shared" si="1"/>
        <v>192000</v>
      </c>
      <c r="BP7" s="131">
        <f t="shared" si="1"/>
        <v>192000</v>
      </c>
      <c r="BQ7" s="131">
        <f t="shared" si="1"/>
        <v>192000</v>
      </c>
      <c r="BR7" s="131">
        <f t="shared" si="1"/>
        <v>192000</v>
      </c>
      <c r="BS7" s="131">
        <f t="shared" si="1"/>
        <v>192000</v>
      </c>
      <c r="BT7" s="131">
        <f t="shared" si="1"/>
        <v>192000</v>
      </c>
      <c r="BU7" s="131">
        <f t="shared" si="1"/>
        <v>192000</v>
      </c>
      <c r="BV7" s="131">
        <f t="shared" si="1"/>
        <v>192000</v>
      </c>
    </row>
    <row r="8" spans="1:76" x14ac:dyDescent="0.2">
      <c r="G8" s="122" t="s">
        <v>288</v>
      </c>
      <c r="H8" s="1">
        <f>H6*H7</f>
        <v>0.05</v>
      </c>
      <c r="K8" s="131" t="s">
        <v>289</v>
      </c>
      <c r="L8" s="131">
        <v>350</v>
      </c>
      <c r="M8" s="131">
        <f>L8*8</f>
        <v>2800</v>
      </c>
      <c r="N8" s="131">
        <f>M8*30</f>
        <v>84000</v>
      </c>
      <c r="O8" s="131">
        <f t="shared" ref="O8:AT8" si="2">$N$8*O6</f>
        <v>8400</v>
      </c>
      <c r="P8" s="131">
        <f t="shared" si="2"/>
        <v>16800</v>
      </c>
      <c r="Q8" s="131">
        <f t="shared" si="2"/>
        <v>25200</v>
      </c>
      <c r="R8" s="131">
        <f t="shared" si="2"/>
        <v>42000</v>
      </c>
      <c r="S8" s="131">
        <f t="shared" si="2"/>
        <v>58799.999999999993</v>
      </c>
      <c r="T8" s="131">
        <f t="shared" si="2"/>
        <v>71400</v>
      </c>
      <c r="U8" s="131">
        <f t="shared" si="2"/>
        <v>84000</v>
      </c>
      <c r="V8" s="131">
        <f t="shared" si="2"/>
        <v>84000</v>
      </c>
      <c r="W8" s="131">
        <f t="shared" si="2"/>
        <v>84000</v>
      </c>
      <c r="X8" s="131">
        <f t="shared" si="2"/>
        <v>84000</v>
      </c>
      <c r="Y8" s="131">
        <f t="shared" si="2"/>
        <v>84000</v>
      </c>
      <c r="Z8" s="131">
        <f t="shared" si="2"/>
        <v>84000</v>
      </c>
      <c r="AA8" s="131">
        <f t="shared" si="2"/>
        <v>96599.999999999985</v>
      </c>
      <c r="AB8" s="131">
        <f t="shared" si="2"/>
        <v>96599.999999999985</v>
      </c>
      <c r="AC8" s="131">
        <f t="shared" si="2"/>
        <v>96599.999999999985</v>
      </c>
      <c r="AD8" s="131">
        <f t="shared" si="2"/>
        <v>96599.999999999985</v>
      </c>
      <c r="AE8" s="131">
        <f t="shared" si="2"/>
        <v>96599.999999999985</v>
      </c>
      <c r="AF8" s="131">
        <f t="shared" si="2"/>
        <v>96599.999999999985</v>
      </c>
      <c r="AG8" s="131">
        <f t="shared" si="2"/>
        <v>96599.999999999985</v>
      </c>
      <c r="AH8" s="131">
        <f t="shared" si="2"/>
        <v>96599.999999999985</v>
      </c>
      <c r="AI8" s="131">
        <f t="shared" si="2"/>
        <v>96599.999999999985</v>
      </c>
      <c r="AJ8" s="131">
        <f t="shared" si="2"/>
        <v>96599.999999999985</v>
      </c>
      <c r="AK8" s="131">
        <f t="shared" si="2"/>
        <v>96599.999999999985</v>
      </c>
      <c r="AL8" s="131">
        <f t="shared" si="2"/>
        <v>96599.999999999985</v>
      </c>
      <c r="AM8" s="131">
        <f t="shared" si="2"/>
        <v>109200</v>
      </c>
      <c r="AN8" s="131">
        <f t="shared" si="2"/>
        <v>109200</v>
      </c>
      <c r="AO8" s="131">
        <f t="shared" si="2"/>
        <v>109200</v>
      </c>
      <c r="AP8" s="131">
        <f t="shared" si="2"/>
        <v>109200</v>
      </c>
      <c r="AQ8" s="131">
        <f t="shared" si="2"/>
        <v>109200</v>
      </c>
      <c r="AR8" s="131">
        <f t="shared" si="2"/>
        <v>109200</v>
      </c>
      <c r="AS8" s="131">
        <f t="shared" si="2"/>
        <v>109200</v>
      </c>
      <c r="AT8" s="131">
        <f t="shared" si="2"/>
        <v>109200</v>
      </c>
      <c r="AU8" s="131">
        <f t="shared" ref="AU8:BV8" si="3">$N$8*AU6</f>
        <v>109200</v>
      </c>
      <c r="AV8" s="131">
        <f t="shared" si="3"/>
        <v>109200</v>
      </c>
      <c r="AW8" s="131">
        <f t="shared" si="3"/>
        <v>109200</v>
      </c>
      <c r="AX8" s="131">
        <f t="shared" si="3"/>
        <v>109200</v>
      </c>
      <c r="AY8" s="131">
        <f t="shared" si="3"/>
        <v>121800</v>
      </c>
      <c r="AZ8" s="131">
        <f t="shared" si="3"/>
        <v>121800</v>
      </c>
      <c r="BA8" s="131">
        <f t="shared" si="3"/>
        <v>121800</v>
      </c>
      <c r="BB8" s="131">
        <f t="shared" si="3"/>
        <v>121800</v>
      </c>
      <c r="BC8" s="131">
        <f t="shared" si="3"/>
        <v>121800</v>
      </c>
      <c r="BD8" s="131">
        <f t="shared" si="3"/>
        <v>121800</v>
      </c>
      <c r="BE8" s="131">
        <f t="shared" si="3"/>
        <v>121800</v>
      </c>
      <c r="BF8" s="131">
        <f t="shared" si="3"/>
        <v>121800</v>
      </c>
      <c r="BG8" s="131">
        <f t="shared" si="3"/>
        <v>121800</v>
      </c>
      <c r="BH8" s="131">
        <f t="shared" si="3"/>
        <v>121800</v>
      </c>
      <c r="BI8" s="131">
        <f t="shared" si="3"/>
        <v>121800</v>
      </c>
      <c r="BJ8" s="131">
        <f t="shared" si="3"/>
        <v>121800</v>
      </c>
      <c r="BK8" s="131">
        <f t="shared" si="3"/>
        <v>134400</v>
      </c>
      <c r="BL8" s="131">
        <f t="shared" si="3"/>
        <v>134400</v>
      </c>
      <c r="BM8" s="131">
        <f t="shared" si="3"/>
        <v>134400</v>
      </c>
      <c r="BN8" s="131">
        <f t="shared" si="3"/>
        <v>134400</v>
      </c>
      <c r="BO8" s="131">
        <f t="shared" si="3"/>
        <v>134400</v>
      </c>
      <c r="BP8" s="131">
        <f t="shared" si="3"/>
        <v>134400</v>
      </c>
      <c r="BQ8" s="131">
        <f t="shared" si="3"/>
        <v>134400</v>
      </c>
      <c r="BR8" s="131">
        <f t="shared" si="3"/>
        <v>134400</v>
      </c>
      <c r="BS8" s="131">
        <f t="shared" si="3"/>
        <v>134400</v>
      </c>
      <c r="BT8" s="131">
        <f t="shared" si="3"/>
        <v>134400</v>
      </c>
      <c r="BU8" s="131">
        <f t="shared" si="3"/>
        <v>134400</v>
      </c>
      <c r="BV8" s="131">
        <f t="shared" si="3"/>
        <v>134400</v>
      </c>
    </row>
    <row r="9" spans="1:76" x14ac:dyDescent="0.2">
      <c r="K9" s="131" t="s">
        <v>290</v>
      </c>
      <c r="L9" s="131">
        <v>100</v>
      </c>
      <c r="M9" s="131">
        <f>L9*8</f>
        <v>800</v>
      </c>
      <c r="N9" s="131">
        <f>M9*30</f>
        <v>24000</v>
      </c>
      <c r="O9" s="131">
        <f t="shared" ref="O9:AT9" si="4">$N$9*O6</f>
        <v>2400</v>
      </c>
      <c r="P9" s="131">
        <f t="shared" si="4"/>
        <v>4800</v>
      </c>
      <c r="Q9" s="131">
        <f t="shared" si="4"/>
        <v>7200</v>
      </c>
      <c r="R9" s="131">
        <f t="shared" si="4"/>
        <v>12000</v>
      </c>
      <c r="S9" s="131">
        <f t="shared" si="4"/>
        <v>16800</v>
      </c>
      <c r="T9" s="131">
        <f t="shared" si="4"/>
        <v>20400</v>
      </c>
      <c r="U9" s="131">
        <f t="shared" si="4"/>
        <v>24000</v>
      </c>
      <c r="V9" s="131">
        <f t="shared" si="4"/>
        <v>24000</v>
      </c>
      <c r="W9" s="131">
        <f t="shared" si="4"/>
        <v>24000</v>
      </c>
      <c r="X9" s="131">
        <f t="shared" si="4"/>
        <v>24000</v>
      </c>
      <c r="Y9" s="131">
        <f t="shared" si="4"/>
        <v>24000</v>
      </c>
      <c r="Z9" s="131">
        <f t="shared" si="4"/>
        <v>24000</v>
      </c>
      <c r="AA9" s="131">
        <f t="shared" si="4"/>
        <v>27599.999999999996</v>
      </c>
      <c r="AB9" s="131">
        <f t="shared" si="4"/>
        <v>27599.999999999996</v>
      </c>
      <c r="AC9" s="131">
        <f t="shared" si="4"/>
        <v>27599.999999999996</v>
      </c>
      <c r="AD9" s="131">
        <f t="shared" si="4"/>
        <v>27599.999999999996</v>
      </c>
      <c r="AE9" s="131">
        <f t="shared" si="4"/>
        <v>27599.999999999996</v>
      </c>
      <c r="AF9" s="131">
        <f t="shared" si="4"/>
        <v>27599.999999999996</v>
      </c>
      <c r="AG9" s="131">
        <f t="shared" si="4"/>
        <v>27599.999999999996</v>
      </c>
      <c r="AH9" s="131">
        <f t="shared" si="4"/>
        <v>27599.999999999996</v>
      </c>
      <c r="AI9" s="131">
        <f t="shared" si="4"/>
        <v>27599.999999999996</v>
      </c>
      <c r="AJ9" s="131">
        <f t="shared" si="4"/>
        <v>27599.999999999996</v>
      </c>
      <c r="AK9" s="131">
        <f t="shared" si="4"/>
        <v>27599.999999999996</v>
      </c>
      <c r="AL9" s="131">
        <f t="shared" si="4"/>
        <v>27599.999999999996</v>
      </c>
      <c r="AM9" s="131">
        <f t="shared" si="4"/>
        <v>31200</v>
      </c>
      <c r="AN9" s="131">
        <f t="shared" si="4"/>
        <v>31200</v>
      </c>
      <c r="AO9" s="131">
        <f t="shared" si="4"/>
        <v>31200</v>
      </c>
      <c r="AP9" s="131">
        <f t="shared" si="4"/>
        <v>31200</v>
      </c>
      <c r="AQ9" s="131">
        <f t="shared" si="4"/>
        <v>31200</v>
      </c>
      <c r="AR9" s="131">
        <f t="shared" si="4"/>
        <v>31200</v>
      </c>
      <c r="AS9" s="131">
        <f t="shared" si="4"/>
        <v>31200</v>
      </c>
      <c r="AT9" s="131">
        <f t="shared" si="4"/>
        <v>31200</v>
      </c>
      <c r="AU9" s="131">
        <f t="shared" ref="AU9:BV9" si="5">$N$9*AU6</f>
        <v>31200</v>
      </c>
      <c r="AV9" s="131">
        <f t="shared" si="5"/>
        <v>31200</v>
      </c>
      <c r="AW9" s="131">
        <f t="shared" si="5"/>
        <v>31200</v>
      </c>
      <c r="AX9" s="131">
        <f t="shared" si="5"/>
        <v>31200</v>
      </c>
      <c r="AY9" s="131">
        <f t="shared" si="5"/>
        <v>34800</v>
      </c>
      <c r="AZ9" s="131">
        <f t="shared" si="5"/>
        <v>34800</v>
      </c>
      <c r="BA9" s="131">
        <f t="shared" si="5"/>
        <v>34800</v>
      </c>
      <c r="BB9" s="131">
        <f t="shared" si="5"/>
        <v>34800</v>
      </c>
      <c r="BC9" s="131">
        <f t="shared" si="5"/>
        <v>34800</v>
      </c>
      <c r="BD9" s="131">
        <f t="shared" si="5"/>
        <v>34800</v>
      </c>
      <c r="BE9" s="131">
        <f t="shared" si="5"/>
        <v>34800</v>
      </c>
      <c r="BF9" s="131">
        <f t="shared" si="5"/>
        <v>34800</v>
      </c>
      <c r="BG9" s="131">
        <f t="shared" si="5"/>
        <v>34800</v>
      </c>
      <c r="BH9" s="131">
        <f t="shared" si="5"/>
        <v>34800</v>
      </c>
      <c r="BI9" s="131">
        <f t="shared" si="5"/>
        <v>34800</v>
      </c>
      <c r="BJ9" s="131">
        <f t="shared" si="5"/>
        <v>34800</v>
      </c>
      <c r="BK9" s="131">
        <f t="shared" si="5"/>
        <v>38400</v>
      </c>
      <c r="BL9" s="131">
        <f t="shared" si="5"/>
        <v>38400</v>
      </c>
      <c r="BM9" s="131">
        <f t="shared" si="5"/>
        <v>38400</v>
      </c>
      <c r="BN9" s="131">
        <f t="shared" si="5"/>
        <v>38400</v>
      </c>
      <c r="BO9" s="131">
        <f t="shared" si="5"/>
        <v>38400</v>
      </c>
      <c r="BP9" s="131">
        <f t="shared" si="5"/>
        <v>38400</v>
      </c>
      <c r="BQ9" s="131">
        <f t="shared" si="5"/>
        <v>38400</v>
      </c>
      <c r="BR9" s="131">
        <f t="shared" si="5"/>
        <v>38400</v>
      </c>
      <c r="BS9" s="131">
        <f t="shared" si="5"/>
        <v>38400</v>
      </c>
      <c r="BT9" s="131">
        <f t="shared" si="5"/>
        <v>38400</v>
      </c>
      <c r="BU9" s="131">
        <f t="shared" si="5"/>
        <v>38400</v>
      </c>
      <c r="BV9" s="131">
        <f t="shared" si="5"/>
        <v>38400</v>
      </c>
    </row>
    <row r="10" spans="1:76" x14ac:dyDescent="0.2">
      <c r="G10" t="s">
        <v>291</v>
      </c>
      <c r="H10">
        <f>0.05*H7</f>
        <v>0.125</v>
      </c>
      <c r="K10" s="135" t="s">
        <v>263</v>
      </c>
      <c r="L10" s="135"/>
      <c r="M10" s="135"/>
      <c r="N10" s="135"/>
      <c r="O10" s="135">
        <v>2</v>
      </c>
    </row>
    <row r="11" spans="1:76" x14ac:dyDescent="0.2">
      <c r="K11" s="139"/>
      <c r="L11" s="139"/>
      <c r="M11" s="139"/>
      <c r="N11" s="139"/>
      <c r="O11" s="139"/>
    </row>
    <row r="14" spans="1:76" ht="15" customHeight="1" x14ac:dyDescent="0.2">
      <c r="K14" s="224" t="s">
        <v>292</v>
      </c>
      <c r="L14" s="232" t="s">
        <v>279</v>
      </c>
      <c r="M14" s="232" t="s">
        <v>280</v>
      </c>
      <c r="N14" s="232" t="s">
        <v>281</v>
      </c>
      <c r="O14" s="233" t="s">
        <v>112</v>
      </c>
      <c r="P14" s="233"/>
      <c r="Q14" s="233"/>
      <c r="R14" s="233"/>
      <c r="S14" s="233"/>
      <c r="T14" s="233"/>
      <c r="U14" s="233"/>
      <c r="V14" s="233"/>
      <c r="W14" s="233"/>
      <c r="X14" s="233"/>
      <c r="Y14" s="233"/>
      <c r="Z14" s="233"/>
      <c r="AA14" s="233" t="s">
        <v>113</v>
      </c>
      <c r="AB14" s="233"/>
      <c r="AC14" s="233"/>
      <c r="AD14" s="233"/>
      <c r="AE14" s="233"/>
      <c r="AF14" s="233"/>
      <c r="AG14" s="233"/>
      <c r="AH14" s="233"/>
      <c r="AI14" s="233"/>
      <c r="AJ14" s="233"/>
      <c r="AK14" s="233"/>
      <c r="AL14" s="233"/>
      <c r="AM14" s="233" t="s">
        <v>114</v>
      </c>
      <c r="AN14" s="233"/>
      <c r="AO14" s="233"/>
      <c r="AP14" s="233"/>
      <c r="AQ14" s="233"/>
      <c r="AR14" s="233"/>
      <c r="AS14" s="233"/>
      <c r="AT14" s="233"/>
      <c r="AU14" s="233"/>
      <c r="AV14" s="233"/>
      <c r="AW14" s="233"/>
      <c r="AX14" s="233"/>
      <c r="AY14" s="233" t="s">
        <v>115</v>
      </c>
      <c r="AZ14" s="233"/>
      <c r="BA14" s="233"/>
      <c r="BB14" s="233"/>
      <c r="BC14" s="233"/>
      <c r="BD14" s="233"/>
      <c r="BE14" s="233"/>
      <c r="BF14" s="233"/>
      <c r="BG14" s="233"/>
      <c r="BH14" s="233"/>
      <c r="BI14" s="233"/>
      <c r="BJ14" s="233"/>
      <c r="BK14" s="233" t="s">
        <v>116</v>
      </c>
      <c r="BL14" s="233"/>
      <c r="BM14" s="233"/>
      <c r="BN14" s="233"/>
      <c r="BO14" s="233"/>
      <c r="BP14" s="233"/>
      <c r="BQ14" s="233"/>
      <c r="BR14" s="233"/>
      <c r="BS14" s="233"/>
      <c r="BT14" s="233"/>
      <c r="BU14" s="233"/>
      <c r="BV14" s="233"/>
    </row>
    <row r="15" spans="1:76" ht="27.75" customHeight="1" x14ac:dyDescent="0.2">
      <c r="K15" s="224"/>
      <c r="L15" s="232"/>
      <c r="M15" s="232"/>
      <c r="N15" s="232"/>
      <c r="O15" s="6" t="s">
        <v>145</v>
      </c>
      <c r="P15" s="6" t="s">
        <v>146</v>
      </c>
      <c r="Q15" s="6" t="s">
        <v>147</v>
      </c>
      <c r="R15" s="6" t="s">
        <v>148</v>
      </c>
      <c r="S15" s="6" t="s">
        <v>149</v>
      </c>
      <c r="T15" s="6" t="s">
        <v>150</v>
      </c>
      <c r="U15" s="6" t="s">
        <v>151</v>
      </c>
      <c r="V15" s="6" t="s">
        <v>256</v>
      </c>
      <c r="W15" s="6" t="s">
        <v>153</v>
      </c>
      <c r="X15" s="6" t="s">
        <v>154</v>
      </c>
      <c r="Y15" s="6" t="s">
        <v>155</v>
      </c>
      <c r="Z15" s="6" t="s">
        <v>257</v>
      </c>
      <c r="AA15" s="6" t="s">
        <v>145</v>
      </c>
      <c r="AB15" s="6" t="s">
        <v>146</v>
      </c>
      <c r="AC15" s="6" t="s">
        <v>147</v>
      </c>
      <c r="AD15" s="6" t="s">
        <v>148</v>
      </c>
      <c r="AE15" s="6" t="s">
        <v>149</v>
      </c>
      <c r="AF15" s="6" t="s">
        <v>150</v>
      </c>
      <c r="AG15" s="6" t="s">
        <v>151</v>
      </c>
      <c r="AH15" s="6" t="s">
        <v>256</v>
      </c>
      <c r="AI15" s="6" t="s">
        <v>153</v>
      </c>
      <c r="AJ15" s="6" t="s">
        <v>154</v>
      </c>
      <c r="AK15" s="6" t="s">
        <v>155</v>
      </c>
      <c r="AL15" s="6" t="s">
        <v>257</v>
      </c>
      <c r="AM15" s="6" t="s">
        <v>145</v>
      </c>
      <c r="AN15" s="6" t="s">
        <v>146</v>
      </c>
      <c r="AO15" s="6" t="s">
        <v>147</v>
      </c>
      <c r="AP15" s="6" t="s">
        <v>148</v>
      </c>
      <c r="AQ15" s="6" t="s">
        <v>149</v>
      </c>
      <c r="AR15" s="6" t="s">
        <v>150</v>
      </c>
      <c r="AS15" s="6" t="s">
        <v>151</v>
      </c>
      <c r="AT15" s="6" t="s">
        <v>256</v>
      </c>
      <c r="AU15" s="6" t="s">
        <v>153</v>
      </c>
      <c r="AV15" s="6" t="s">
        <v>154</v>
      </c>
      <c r="AW15" s="6" t="s">
        <v>155</v>
      </c>
      <c r="AX15" s="6" t="s">
        <v>257</v>
      </c>
      <c r="AY15" s="6" t="s">
        <v>145</v>
      </c>
      <c r="AZ15" s="6" t="s">
        <v>146</v>
      </c>
      <c r="BA15" s="6" t="s">
        <v>147</v>
      </c>
      <c r="BB15" s="6" t="s">
        <v>148</v>
      </c>
      <c r="BC15" s="6" t="s">
        <v>149</v>
      </c>
      <c r="BD15" s="6" t="s">
        <v>150</v>
      </c>
      <c r="BE15" s="6" t="s">
        <v>151</v>
      </c>
      <c r="BF15" s="6" t="s">
        <v>256</v>
      </c>
      <c r="BG15" s="6" t="s">
        <v>153</v>
      </c>
      <c r="BH15" s="6" t="s">
        <v>154</v>
      </c>
      <c r="BI15" s="6" t="s">
        <v>155</v>
      </c>
      <c r="BJ15" s="6" t="s">
        <v>257</v>
      </c>
      <c r="BK15" s="6" t="s">
        <v>145</v>
      </c>
      <c r="BL15" s="6" t="s">
        <v>146</v>
      </c>
      <c r="BM15" s="6" t="s">
        <v>147</v>
      </c>
      <c r="BN15" s="6" t="s">
        <v>148</v>
      </c>
      <c r="BO15" s="6" t="s">
        <v>149</v>
      </c>
      <c r="BP15" s="6" t="s">
        <v>150</v>
      </c>
      <c r="BQ15" s="6" t="s">
        <v>151</v>
      </c>
      <c r="BR15" s="6" t="s">
        <v>256</v>
      </c>
      <c r="BS15" s="6" t="s">
        <v>153</v>
      </c>
      <c r="BT15" s="6" t="s">
        <v>154</v>
      </c>
      <c r="BU15" s="6" t="s">
        <v>155</v>
      </c>
      <c r="BV15" s="6" t="s">
        <v>257</v>
      </c>
    </row>
    <row r="16" spans="1:76" x14ac:dyDescent="0.2">
      <c r="K16" s="131" t="s">
        <v>287</v>
      </c>
      <c r="L16" s="131">
        <f t="shared" ref="L16:N18" si="6">L7</f>
        <v>500</v>
      </c>
      <c r="M16" s="131">
        <f t="shared" si="6"/>
        <v>4000</v>
      </c>
      <c r="N16" s="131">
        <f t="shared" si="6"/>
        <v>120000</v>
      </c>
      <c r="O16" s="156">
        <f>O7*O10*E7</f>
        <v>3900</v>
      </c>
      <c r="P16" s="156">
        <f>P7*O10*E7</f>
        <v>7800</v>
      </c>
      <c r="Q16" s="156">
        <f>Q7*O10*E7</f>
        <v>11700</v>
      </c>
      <c r="R16" s="156">
        <f>R7*O10*E7</f>
        <v>19500</v>
      </c>
      <c r="S16" s="156">
        <f>S7*O10*E7</f>
        <v>27300</v>
      </c>
      <c r="T16" s="156">
        <f>T7*O10*E7</f>
        <v>33150</v>
      </c>
      <c r="U16" s="156">
        <f>U7*O10*E7</f>
        <v>39000</v>
      </c>
      <c r="V16" s="156">
        <f>V7*O10*E7</f>
        <v>39000</v>
      </c>
      <c r="W16" s="156">
        <f>W7*O10*E7</f>
        <v>39000</v>
      </c>
      <c r="X16" s="156">
        <f>X7*O10*E7</f>
        <v>39000</v>
      </c>
      <c r="Y16" s="156">
        <f>Y7*O10*E7</f>
        <v>39000</v>
      </c>
      <c r="Z16" s="156">
        <f>Z7*O10*E7</f>
        <v>39000</v>
      </c>
      <c r="AA16" s="156">
        <f>AA7*O10*E7</f>
        <v>44850</v>
      </c>
      <c r="AB16" s="156">
        <f>AB7*O10*E7</f>
        <v>44850</v>
      </c>
      <c r="AC16" s="156">
        <f>AC7*O10*E7</f>
        <v>44850</v>
      </c>
      <c r="AD16" s="156">
        <f>AD7*O10*E7</f>
        <v>44850</v>
      </c>
      <c r="AE16" s="156">
        <f>AE7*O10*E7</f>
        <v>44850</v>
      </c>
      <c r="AF16" s="156">
        <f>AF7*O10*E7</f>
        <v>44850</v>
      </c>
      <c r="AG16" s="156">
        <f>AG7*O10*E7</f>
        <v>44850</v>
      </c>
      <c r="AH16" s="156">
        <f>AH7*O10*E7</f>
        <v>44850</v>
      </c>
      <c r="AI16" s="156">
        <f>AI7*O10*E7</f>
        <v>44850</v>
      </c>
      <c r="AJ16" s="156">
        <f>AJ7*O10*E7</f>
        <v>44850</v>
      </c>
      <c r="AK16" s="156">
        <f>AK7*O10*E7</f>
        <v>44850</v>
      </c>
      <c r="AL16" s="156">
        <f>AL7*O10*E7</f>
        <v>44850</v>
      </c>
      <c r="AM16" s="156">
        <f>AM7*O10*E7</f>
        <v>50700</v>
      </c>
      <c r="AN16" s="156">
        <f>AN7*O10*E7</f>
        <v>50700</v>
      </c>
      <c r="AO16" s="156">
        <f>AO7*O10*E7</f>
        <v>50700</v>
      </c>
      <c r="AP16" s="156">
        <f>AP7*O10*E7</f>
        <v>50700</v>
      </c>
      <c r="AQ16" s="156">
        <f>AQ7*O10*E7</f>
        <v>50700</v>
      </c>
      <c r="AR16" s="156">
        <f>AR7*O10*E7</f>
        <v>50700</v>
      </c>
      <c r="AS16" s="156">
        <f>AS7*O10*E7</f>
        <v>50700</v>
      </c>
      <c r="AT16" s="156">
        <f>AT7*O10*E7</f>
        <v>50700</v>
      </c>
      <c r="AU16" s="156">
        <f>AU7*O10*E7</f>
        <v>50700</v>
      </c>
      <c r="AV16" s="156">
        <f>AV7*O10*E7</f>
        <v>50700</v>
      </c>
      <c r="AW16" s="156">
        <f>AW7*O10*E7</f>
        <v>50700</v>
      </c>
      <c r="AX16" s="156">
        <f>AX7*O10*E7</f>
        <v>50700</v>
      </c>
      <c r="AY16" s="156">
        <f>AY7*O10*E7</f>
        <v>56550</v>
      </c>
      <c r="AZ16" s="156">
        <f t="shared" ref="AZ16:BV16" si="7">AZ7*$O$10*$E$7</f>
        <v>56550</v>
      </c>
      <c r="BA16" s="156">
        <f t="shared" si="7"/>
        <v>56550</v>
      </c>
      <c r="BB16" s="156">
        <f t="shared" si="7"/>
        <v>56550</v>
      </c>
      <c r="BC16" s="156">
        <f t="shared" si="7"/>
        <v>56550</v>
      </c>
      <c r="BD16" s="156">
        <f t="shared" si="7"/>
        <v>56550</v>
      </c>
      <c r="BE16" s="156">
        <f t="shared" si="7"/>
        <v>56550</v>
      </c>
      <c r="BF16" s="156">
        <f t="shared" si="7"/>
        <v>56550</v>
      </c>
      <c r="BG16" s="156">
        <f t="shared" si="7"/>
        <v>56550</v>
      </c>
      <c r="BH16" s="156">
        <f t="shared" si="7"/>
        <v>56550</v>
      </c>
      <c r="BI16" s="156">
        <f t="shared" si="7"/>
        <v>56550</v>
      </c>
      <c r="BJ16" s="156">
        <f t="shared" si="7"/>
        <v>56550</v>
      </c>
      <c r="BK16" s="156">
        <f t="shared" si="7"/>
        <v>62400</v>
      </c>
      <c r="BL16" s="156">
        <f t="shared" si="7"/>
        <v>62400</v>
      </c>
      <c r="BM16" s="156">
        <f t="shared" si="7"/>
        <v>62400</v>
      </c>
      <c r="BN16" s="156">
        <f t="shared" si="7"/>
        <v>62400</v>
      </c>
      <c r="BO16" s="156">
        <f t="shared" si="7"/>
        <v>62400</v>
      </c>
      <c r="BP16" s="156">
        <f t="shared" si="7"/>
        <v>62400</v>
      </c>
      <c r="BQ16" s="156">
        <f t="shared" si="7"/>
        <v>62400</v>
      </c>
      <c r="BR16" s="156">
        <f t="shared" si="7"/>
        <v>62400</v>
      </c>
      <c r="BS16" s="156">
        <f t="shared" si="7"/>
        <v>62400</v>
      </c>
      <c r="BT16" s="156">
        <f t="shared" si="7"/>
        <v>62400</v>
      </c>
      <c r="BU16" s="156">
        <f t="shared" si="7"/>
        <v>62400</v>
      </c>
      <c r="BV16" s="156">
        <f t="shared" si="7"/>
        <v>62400</v>
      </c>
      <c r="BW16" s="19"/>
      <c r="BX16" s="19"/>
    </row>
    <row r="17" spans="11:76" x14ac:dyDescent="0.2">
      <c r="K17" s="131" t="s">
        <v>289</v>
      </c>
      <c r="L17" s="131">
        <f t="shared" si="6"/>
        <v>350</v>
      </c>
      <c r="M17" s="131">
        <f t="shared" si="6"/>
        <v>2800</v>
      </c>
      <c r="N17" s="131">
        <f t="shared" si="6"/>
        <v>84000</v>
      </c>
      <c r="O17" s="156">
        <f>O8*O10*E7</f>
        <v>2730</v>
      </c>
      <c r="P17" s="156">
        <f>P8*O10*E7</f>
        <v>5460</v>
      </c>
      <c r="Q17" s="156">
        <f>Q8*O10*E7</f>
        <v>8190</v>
      </c>
      <c r="R17" s="156">
        <f>R8*O10*E7</f>
        <v>13650</v>
      </c>
      <c r="S17" s="156">
        <f>S8*O10*E7</f>
        <v>19110</v>
      </c>
      <c r="T17" s="156">
        <f>T8*O10*E7</f>
        <v>23205</v>
      </c>
      <c r="U17" s="156">
        <f>U8*O10*E7</f>
        <v>27300</v>
      </c>
      <c r="V17" s="156">
        <f>V8*O10*E7</f>
        <v>27300</v>
      </c>
      <c r="W17" s="156">
        <f>W8*O10*E7</f>
        <v>27300</v>
      </c>
      <c r="X17" s="156">
        <f>X8*O10*E7</f>
        <v>27300</v>
      </c>
      <c r="Y17" s="156">
        <f>Y8*O10*E7</f>
        <v>27300</v>
      </c>
      <c r="Z17" s="156">
        <f>Z8*O10*E7</f>
        <v>27300</v>
      </c>
      <c r="AA17" s="156">
        <f>AA8*O10*E7</f>
        <v>31394.999999999996</v>
      </c>
      <c r="AB17" s="156">
        <f>AB8*O10*E7</f>
        <v>31394.999999999996</v>
      </c>
      <c r="AC17" s="156">
        <f>AC8*O10*E7</f>
        <v>31394.999999999996</v>
      </c>
      <c r="AD17" s="156">
        <f>AD8*O10*E7</f>
        <v>31394.999999999996</v>
      </c>
      <c r="AE17" s="156">
        <f>AE8*O10*E7</f>
        <v>31394.999999999996</v>
      </c>
      <c r="AF17" s="156">
        <f>AF8*O10*E7</f>
        <v>31394.999999999996</v>
      </c>
      <c r="AG17" s="156">
        <f>AG8*O10*E7</f>
        <v>31394.999999999996</v>
      </c>
      <c r="AH17" s="156">
        <f>AH8*O10*E7</f>
        <v>31394.999999999996</v>
      </c>
      <c r="AI17" s="156">
        <f>AI8*O10*E7</f>
        <v>31394.999999999996</v>
      </c>
      <c r="AJ17" s="156">
        <f>AJ8*O10*E7</f>
        <v>31394.999999999996</v>
      </c>
      <c r="AK17" s="156">
        <f>AK8*O10*E7</f>
        <v>31394.999999999996</v>
      </c>
      <c r="AL17" s="156">
        <f>AL8*O10*E7</f>
        <v>31394.999999999996</v>
      </c>
      <c r="AM17" s="156">
        <f>AM8*O10*E7</f>
        <v>35490</v>
      </c>
      <c r="AN17" s="156">
        <f>AN8*O10*E7</f>
        <v>35490</v>
      </c>
      <c r="AO17" s="156">
        <f>AO8*O10*E7</f>
        <v>35490</v>
      </c>
      <c r="AP17" s="156">
        <f>AP8*O10*E7</f>
        <v>35490</v>
      </c>
      <c r="AQ17" s="156">
        <f>AQ8*O10*E7</f>
        <v>35490</v>
      </c>
      <c r="AR17" s="156">
        <f>AR8*O10*E7</f>
        <v>35490</v>
      </c>
      <c r="AS17" s="156">
        <f>AS8*O10*E7</f>
        <v>35490</v>
      </c>
      <c r="AT17" s="156">
        <f>AT8*O10*E7</f>
        <v>35490</v>
      </c>
      <c r="AU17" s="156">
        <f>AU8*O10*E7</f>
        <v>35490</v>
      </c>
      <c r="AV17" s="156">
        <f>AV8*O10*E7</f>
        <v>35490</v>
      </c>
      <c r="AW17" s="156">
        <f>AW8*O10*E7</f>
        <v>35490</v>
      </c>
      <c r="AX17" s="156">
        <f>AX8*O10*E7</f>
        <v>35490</v>
      </c>
      <c r="AY17" s="156">
        <f>AY8*O10*E7</f>
        <v>39585</v>
      </c>
      <c r="AZ17" s="156">
        <f t="shared" ref="AZ17:BV17" si="8">AZ8*$O$10*$E$7</f>
        <v>39585</v>
      </c>
      <c r="BA17" s="156">
        <f t="shared" si="8"/>
        <v>39585</v>
      </c>
      <c r="BB17" s="156">
        <f t="shared" si="8"/>
        <v>39585</v>
      </c>
      <c r="BC17" s="156">
        <f t="shared" si="8"/>
        <v>39585</v>
      </c>
      <c r="BD17" s="156">
        <f t="shared" si="8"/>
        <v>39585</v>
      </c>
      <c r="BE17" s="156">
        <f t="shared" si="8"/>
        <v>39585</v>
      </c>
      <c r="BF17" s="156">
        <f t="shared" si="8"/>
        <v>39585</v>
      </c>
      <c r="BG17" s="156">
        <f t="shared" si="8"/>
        <v>39585</v>
      </c>
      <c r="BH17" s="156">
        <f t="shared" si="8"/>
        <v>39585</v>
      </c>
      <c r="BI17" s="156">
        <f t="shared" si="8"/>
        <v>39585</v>
      </c>
      <c r="BJ17" s="156">
        <f t="shared" si="8"/>
        <v>39585</v>
      </c>
      <c r="BK17" s="156">
        <f t="shared" si="8"/>
        <v>43680</v>
      </c>
      <c r="BL17" s="156">
        <f t="shared" si="8"/>
        <v>43680</v>
      </c>
      <c r="BM17" s="156">
        <f t="shared" si="8"/>
        <v>43680</v>
      </c>
      <c r="BN17" s="156">
        <f t="shared" si="8"/>
        <v>43680</v>
      </c>
      <c r="BO17" s="156">
        <f t="shared" si="8"/>
        <v>43680</v>
      </c>
      <c r="BP17" s="156">
        <f t="shared" si="8"/>
        <v>43680</v>
      </c>
      <c r="BQ17" s="156">
        <f t="shared" si="8"/>
        <v>43680</v>
      </c>
      <c r="BR17" s="156">
        <f t="shared" si="8"/>
        <v>43680</v>
      </c>
      <c r="BS17" s="156">
        <f t="shared" si="8"/>
        <v>43680</v>
      </c>
      <c r="BT17" s="156">
        <f t="shared" si="8"/>
        <v>43680</v>
      </c>
      <c r="BU17" s="156">
        <f t="shared" si="8"/>
        <v>43680</v>
      </c>
      <c r="BV17" s="156">
        <f t="shared" si="8"/>
        <v>43680</v>
      </c>
      <c r="BW17" s="19"/>
      <c r="BX17" s="19"/>
    </row>
    <row r="18" spans="11:76" x14ac:dyDescent="0.2">
      <c r="K18" s="131" t="s">
        <v>290</v>
      </c>
      <c r="L18" s="131">
        <f t="shared" si="6"/>
        <v>100</v>
      </c>
      <c r="M18" s="131">
        <f t="shared" si="6"/>
        <v>800</v>
      </c>
      <c r="N18" s="131">
        <f t="shared" si="6"/>
        <v>24000</v>
      </c>
      <c r="O18" s="156">
        <f>O9*E7</f>
        <v>390</v>
      </c>
      <c r="P18" s="156">
        <f>P9*O10*E7</f>
        <v>1560</v>
      </c>
      <c r="Q18" s="156">
        <f>Q9*O10*E7</f>
        <v>2340</v>
      </c>
      <c r="R18" s="156">
        <f>R9*O10*E7</f>
        <v>3900</v>
      </c>
      <c r="S18" s="156">
        <f>S9*O10*E7</f>
        <v>5460</v>
      </c>
      <c r="T18" s="156">
        <f>T9*O10*E7</f>
        <v>6630</v>
      </c>
      <c r="U18" s="156">
        <f>U9*O10*E7</f>
        <v>7800</v>
      </c>
      <c r="V18" s="156">
        <f>V9*O10*E7</f>
        <v>7800</v>
      </c>
      <c r="W18" s="156">
        <f>W9*O10*E7</f>
        <v>7800</v>
      </c>
      <c r="X18" s="156">
        <f>X9*O10*E7</f>
        <v>7800</v>
      </c>
      <c r="Y18" s="156">
        <f>Y9*O10*E7</f>
        <v>7800</v>
      </c>
      <c r="Z18" s="156">
        <f>Z9*O10*E7</f>
        <v>7800</v>
      </c>
      <c r="AA18" s="156">
        <f>AA9*O10*E7</f>
        <v>8970</v>
      </c>
      <c r="AB18" s="156">
        <f>AB9*O10*E7</f>
        <v>8970</v>
      </c>
      <c r="AC18" s="156">
        <f>AC9*O10*E7</f>
        <v>8970</v>
      </c>
      <c r="AD18" s="156">
        <f>AD9*O10*E7</f>
        <v>8970</v>
      </c>
      <c r="AE18" s="156">
        <f>AE9*O10*E7</f>
        <v>8970</v>
      </c>
      <c r="AF18" s="156">
        <f>AF9*O10*E7</f>
        <v>8970</v>
      </c>
      <c r="AG18" s="156">
        <f>AG9*O10*E7</f>
        <v>8970</v>
      </c>
      <c r="AH18" s="156">
        <f>AH9*O10*E7</f>
        <v>8970</v>
      </c>
      <c r="AI18" s="156">
        <f>AI9*O10*E7</f>
        <v>8970</v>
      </c>
      <c r="AJ18" s="156">
        <f>AJ9*O10*E7</f>
        <v>8970</v>
      </c>
      <c r="AK18" s="156">
        <f>AK9*O10*E7</f>
        <v>8970</v>
      </c>
      <c r="AL18" s="156">
        <f>AL9*O10*E7</f>
        <v>8970</v>
      </c>
      <c r="AM18" s="156">
        <f>AM9*O10*E7</f>
        <v>10140</v>
      </c>
      <c r="AN18" s="156">
        <f>AN9*O10*E7</f>
        <v>10140</v>
      </c>
      <c r="AO18" s="156">
        <f>AO9*O10*E7</f>
        <v>10140</v>
      </c>
      <c r="AP18" s="156">
        <f>AP9*O10*E7</f>
        <v>10140</v>
      </c>
      <c r="AQ18" s="156">
        <f>AQ9*O10*E7</f>
        <v>10140</v>
      </c>
      <c r="AR18" s="156">
        <f>AR9*O10*E7</f>
        <v>10140</v>
      </c>
      <c r="AS18" s="156">
        <f>AS9*O10*E7</f>
        <v>10140</v>
      </c>
      <c r="AT18" s="156">
        <f>AT9*O10*E7</f>
        <v>10140</v>
      </c>
      <c r="AU18" s="156">
        <f>AU9*O10*E7</f>
        <v>10140</v>
      </c>
      <c r="AV18" s="156">
        <f>AV9*O10*E7</f>
        <v>10140</v>
      </c>
      <c r="AW18" s="156">
        <f>AW9*O10*E7</f>
        <v>10140</v>
      </c>
      <c r="AX18" s="156">
        <f>AX9*O10*E7</f>
        <v>10140</v>
      </c>
      <c r="AY18" s="156">
        <f>AY9*O10*E7</f>
        <v>11310</v>
      </c>
      <c r="AZ18" s="156">
        <f t="shared" ref="AZ18:BV18" si="9">AZ9*$O$10*$E$7</f>
        <v>11310</v>
      </c>
      <c r="BA18" s="156">
        <f t="shared" si="9"/>
        <v>11310</v>
      </c>
      <c r="BB18" s="156">
        <f t="shared" si="9"/>
        <v>11310</v>
      </c>
      <c r="BC18" s="156">
        <f t="shared" si="9"/>
        <v>11310</v>
      </c>
      <c r="BD18" s="156">
        <f t="shared" si="9"/>
        <v>11310</v>
      </c>
      <c r="BE18" s="156">
        <f t="shared" si="9"/>
        <v>11310</v>
      </c>
      <c r="BF18" s="156">
        <f t="shared" si="9"/>
        <v>11310</v>
      </c>
      <c r="BG18" s="156">
        <f t="shared" si="9"/>
        <v>11310</v>
      </c>
      <c r="BH18" s="156">
        <f t="shared" si="9"/>
        <v>11310</v>
      </c>
      <c r="BI18" s="156">
        <f t="shared" si="9"/>
        <v>11310</v>
      </c>
      <c r="BJ18" s="156">
        <f t="shared" si="9"/>
        <v>11310</v>
      </c>
      <c r="BK18" s="156">
        <f t="shared" si="9"/>
        <v>12480</v>
      </c>
      <c r="BL18" s="156">
        <f t="shared" si="9"/>
        <v>12480</v>
      </c>
      <c r="BM18" s="156">
        <f t="shared" si="9"/>
        <v>12480</v>
      </c>
      <c r="BN18" s="156">
        <f t="shared" si="9"/>
        <v>12480</v>
      </c>
      <c r="BO18" s="156">
        <f t="shared" si="9"/>
        <v>12480</v>
      </c>
      <c r="BP18" s="156">
        <f t="shared" si="9"/>
        <v>12480</v>
      </c>
      <c r="BQ18" s="156">
        <f t="shared" si="9"/>
        <v>12480</v>
      </c>
      <c r="BR18" s="156">
        <f t="shared" si="9"/>
        <v>12480</v>
      </c>
      <c r="BS18" s="156">
        <f t="shared" si="9"/>
        <v>12480</v>
      </c>
      <c r="BT18" s="156">
        <f t="shared" si="9"/>
        <v>12480</v>
      </c>
      <c r="BU18" s="156">
        <f t="shared" si="9"/>
        <v>12480</v>
      </c>
      <c r="BV18" s="156">
        <f t="shared" si="9"/>
        <v>12480</v>
      </c>
      <c r="BW18" s="19"/>
      <c r="BX18" s="19"/>
    </row>
    <row r="19" spans="11:76" x14ac:dyDescent="0.2">
      <c r="K19" s="236" t="s">
        <v>293</v>
      </c>
      <c r="L19" s="236"/>
      <c r="M19" s="132"/>
      <c r="N19" s="132"/>
      <c r="O19" s="133">
        <f t="shared" ref="O19:AT19" si="10">SUM(O16:O18)</f>
        <v>7020</v>
      </c>
      <c r="P19" s="133">
        <f t="shared" si="10"/>
        <v>14820</v>
      </c>
      <c r="Q19" s="133">
        <f t="shared" si="10"/>
        <v>22230</v>
      </c>
      <c r="R19" s="133">
        <f t="shared" si="10"/>
        <v>37050</v>
      </c>
      <c r="S19" s="133">
        <f t="shared" si="10"/>
        <v>51870</v>
      </c>
      <c r="T19" s="133">
        <f t="shared" si="10"/>
        <v>62985</v>
      </c>
      <c r="U19" s="133">
        <f t="shared" si="10"/>
        <v>74100</v>
      </c>
      <c r="V19" s="133">
        <f t="shared" si="10"/>
        <v>74100</v>
      </c>
      <c r="W19" s="133">
        <f t="shared" si="10"/>
        <v>74100</v>
      </c>
      <c r="X19" s="133">
        <f t="shared" si="10"/>
        <v>74100</v>
      </c>
      <c r="Y19" s="133">
        <f t="shared" si="10"/>
        <v>74100</v>
      </c>
      <c r="Z19" s="133">
        <f t="shared" si="10"/>
        <v>74100</v>
      </c>
      <c r="AA19" s="133">
        <f t="shared" si="10"/>
        <v>85215</v>
      </c>
      <c r="AB19" s="133">
        <f t="shared" si="10"/>
        <v>85215</v>
      </c>
      <c r="AC19" s="133">
        <f t="shared" si="10"/>
        <v>85215</v>
      </c>
      <c r="AD19" s="133">
        <f t="shared" si="10"/>
        <v>85215</v>
      </c>
      <c r="AE19" s="133">
        <f t="shared" si="10"/>
        <v>85215</v>
      </c>
      <c r="AF19" s="133">
        <f t="shared" si="10"/>
        <v>85215</v>
      </c>
      <c r="AG19" s="133">
        <f t="shared" si="10"/>
        <v>85215</v>
      </c>
      <c r="AH19" s="133">
        <f t="shared" si="10"/>
        <v>85215</v>
      </c>
      <c r="AI19" s="133">
        <f t="shared" si="10"/>
        <v>85215</v>
      </c>
      <c r="AJ19" s="133">
        <f t="shared" si="10"/>
        <v>85215</v>
      </c>
      <c r="AK19" s="133">
        <f t="shared" si="10"/>
        <v>85215</v>
      </c>
      <c r="AL19" s="133">
        <f t="shared" si="10"/>
        <v>85215</v>
      </c>
      <c r="AM19" s="133">
        <f t="shared" si="10"/>
        <v>96330</v>
      </c>
      <c r="AN19" s="133">
        <f t="shared" si="10"/>
        <v>96330</v>
      </c>
      <c r="AO19" s="133">
        <f t="shared" si="10"/>
        <v>96330</v>
      </c>
      <c r="AP19" s="133">
        <f t="shared" si="10"/>
        <v>96330</v>
      </c>
      <c r="AQ19" s="133">
        <f t="shared" si="10"/>
        <v>96330</v>
      </c>
      <c r="AR19" s="133">
        <f t="shared" si="10"/>
        <v>96330</v>
      </c>
      <c r="AS19" s="133">
        <f t="shared" si="10"/>
        <v>96330</v>
      </c>
      <c r="AT19" s="133">
        <f t="shared" si="10"/>
        <v>96330</v>
      </c>
      <c r="AU19" s="133">
        <f t="shared" ref="AU19:BV19" si="11">SUM(AU16:AU18)</f>
        <v>96330</v>
      </c>
      <c r="AV19" s="133">
        <f t="shared" si="11"/>
        <v>96330</v>
      </c>
      <c r="AW19" s="133">
        <f t="shared" si="11"/>
        <v>96330</v>
      </c>
      <c r="AX19" s="133">
        <f t="shared" si="11"/>
        <v>96330</v>
      </c>
      <c r="AY19" s="133">
        <f t="shared" si="11"/>
        <v>107445</v>
      </c>
      <c r="AZ19" s="133">
        <f t="shared" si="11"/>
        <v>107445</v>
      </c>
      <c r="BA19" s="133">
        <f t="shared" si="11"/>
        <v>107445</v>
      </c>
      <c r="BB19" s="133">
        <f t="shared" si="11"/>
        <v>107445</v>
      </c>
      <c r="BC19" s="133">
        <f t="shared" si="11"/>
        <v>107445</v>
      </c>
      <c r="BD19" s="133">
        <f t="shared" si="11"/>
        <v>107445</v>
      </c>
      <c r="BE19" s="133">
        <f t="shared" si="11"/>
        <v>107445</v>
      </c>
      <c r="BF19" s="133">
        <f t="shared" si="11"/>
        <v>107445</v>
      </c>
      <c r="BG19" s="133">
        <f t="shared" si="11"/>
        <v>107445</v>
      </c>
      <c r="BH19" s="133">
        <f t="shared" si="11"/>
        <v>107445</v>
      </c>
      <c r="BI19" s="133">
        <f t="shared" si="11"/>
        <v>107445</v>
      </c>
      <c r="BJ19" s="133">
        <f t="shared" si="11"/>
        <v>107445</v>
      </c>
      <c r="BK19" s="133">
        <f t="shared" si="11"/>
        <v>118560</v>
      </c>
      <c r="BL19" s="133">
        <f t="shared" si="11"/>
        <v>118560</v>
      </c>
      <c r="BM19" s="133">
        <f t="shared" si="11"/>
        <v>118560</v>
      </c>
      <c r="BN19" s="133">
        <f t="shared" si="11"/>
        <v>118560</v>
      </c>
      <c r="BO19" s="133">
        <f t="shared" si="11"/>
        <v>118560</v>
      </c>
      <c r="BP19" s="133">
        <f t="shared" si="11"/>
        <v>118560</v>
      </c>
      <c r="BQ19" s="133">
        <f t="shared" si="11"/>
        <v>118560</v>
      </c>
      <c r="BR19" s="133">
        <f t="shared" si="11"/>
        <v>118560</v>
      </c>
      <c r="BS19" s="133">
        <f t="shared" si="11"/>
        <v>118560</v>
      </c>
      <c r="BT19" s="133">
        <f t="shared" si="11"/>
        <v>118560</v>
      </c>
      <c r="BU19" s="133">
        <f t="shared" si="11"/>
        <v>118560</v>
      </c>
      <c r="BV19" s="133">
        <f t="shared" si="11"/>
        <v>118560</v>
      </c>
    </row>
    <row r="20" spans="11:76" x14ac:dyDescent="0.2">
      <c r="K20" t="s">
        <v>294</v>
      </c>
      <c r="O20" s="157">
        <f>SUM(O19:Z19)</f>
        <v>640575</v>
      </c>
      <c r="P20" s="158"/>
      <c r="Q20" s="158"/>
      <c r="R20" s="158"/>
      <c r="S20" s="158"/>
      <c r="T20" s="158"/>
      <c r="U20" s="158"/>
      <c r="V20" s="158"/>
      <c r="W20" s="158"/>
      <c r="X20" s="158"/>
      <c r="Y20" s="158"/>
      <c r="Z20" s="159"/>
      <c r="AA20" s="160">
        <f>SUM(AA19:AL19)</f>
        <v>1022580</v>
      </c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2">
        <f>SUM(AM19:AX19)</f>
        <v>1155960</v>
      </c>
      <c r="AN20" s="163"/>
      <c r="AO20" s="163"/>
      <c r="AP20" s="163"/>
      <c r="AQ20" s="163"/>
      <c r="AR20" s="163"/>
      <c r="AS20" s="163"/>
      <c r="AT20" s="163"/>
      <c r="AU20" s="163"/>
      <c r="AV20" s="163"/>
      <c r="AW20" s="163"/>
      <c r="AX20" s="164"/>
      <c r="AY20" s="165">
        <f>SUM(AY19:BJ19)</f>
        <v>1289340</v>
      </c>
      <c r="AZ20" s="166"/>
      <c r="BA20" s="166"/>
      <c r="BB20" s="166"/>
      <c r="BC20" s="166"/>
      <c r="BD20" s="166"/>
      <c r="BE20" s="166"/>
      <c r="BF20" s="166"/>
      <c r="BG20" s="166"/>
      <c r="BH20" s="166"/>
      <c r="BI20" s="166"/>
      <c r="BJ20" s="166"/>
      <c r="BK20" s="160">
        <f>SUM(BK19:BV19)</f>
        <v>1422720</v>
      </c>
      <c r="BL20" s="161"/>
      <c r="BM20" s="161"/>
      <c r="BN20" s="161"/>
      <c r="BO20" s="161"/>
      <c r="BP20" s="161"/>
      <c r="BQ20" s="161"/>
      <c r="BR20" s="161"/>
      <c r="BS20" s="161"/>
      <c r="BT20" s="161"/>
      <c r="BU20" s="161"/>
      <c r="BV20" s="161"/>
    </row>
    <row r="24" spans="11:76" x14ac:dyDescent="0.2">
      <c r="K24" s="240" t="s">
        <v>295</v>
      </c>
      <c r="L24" s="240"/>
      <c r="M24" s="240"/>
      <c r="N24" s="240"/>
      <c r="O24" s="240"/>
      <c r="P24" s="240"/>
      <c r="Q24" s="240"/>
      <c r="R24" s="240"/>
      <c r="S24" s="240"/>
      <c r="T24" s="240"/>
      <c r="U24" s="240"/>
      <c r="V24" s="240"/>
      <c r="W24" s="240"/>
      <c r="X24" s="240"/>
      <c r="Y24" s="240"/>
      <c r="Z24" s="240"/>
      <c r="AA24" s="240"/>
      <c r="AB24" s="240"/>
      <c r="AC24" s="240"/>
      <c r="AD24" s="240"/>
    </row>
    <row r="26" spans="11:76" ht="15" customHeight="1" x14ac:dyDescent="0.2">
      <c r="K26" s="246" t="s">
        <v>296</v>
      </c>
      <c r="L26" s="232" t="s">
        <v>279</v>
      </c>
      <c r="M26" s="232" t="s">
        <v>266</v>
      </c>
      <c r="N26" s="232" t="s">
        <v>281</v>
      </c>
      <c r="O26" s="233" t="s">
        <v>112</v>
      </c>
      <c r="P26" s="233"/>
      <c r="Q26" s="233"/>
      <c r="R26" s="233"/>
      <c r="S26" s="233"/>
      <c r="T26" s="233"/>
      <c r="U26" s="233"/>
      <c r="V26" s="233"/>
      <c r="W26" s="233"/>
      <c r="X26" s="233"/>
      <c r="Y26" s="233"/>
      <c r="Z26" s="233"/>
      <c r="AA26" s="233" t="s">
        <v>113</v>
      </c>
      <c r="AB26" s="233"/>
      <c r="AC26" s="233"/>
      <c r="AD26" s="233"/>
      <c r="AE26" s="233"/>
      <c r="AF26" s="233"/>
      <c r="AG26" s="233"/>
      <c r="AH26" s="233"/>
      <c r="AI26" s="233"/>
      <c r="AJ26" s="233"/>
      <c r="AK26" s="233"/>
      <c r="AL26" s="233"/>
      <c r="AM26" s="233" t="s">
        <v>114</v>
      </c>
      <c r="AN26" s="233"/>
      <c r="AO26" s="233"/>
      <c r="AP26" s="233"/>
      <c r="AQ26" s="233"/>
      <c r="AR26" s="233"/>
      <c r="AS26" s="233"/>
      <c r="AT26" s="233"/>
      <c r="AU26" s="233"/>
      <c r="AV26" s="233"/>
      <c r="AW26" s="233"/>
      <c r="AX26" s="233"/>
      <c r="AY26" s="233" t="s">
        <v>115</v>
      </c>
      <c r="AZ26" s="233"/>
      <c r="BA26" s="233"/>
      <c r="BB26" s="233"/>
      <c r="BC26" s="233"/>
      <c r="BD26" s="233"/>
      <c r="BE26" s="233"/>
      <c r="BF26" s="233"/>
      <c r="BG26" s="233"/>
      <c r="BH26" s="233"/>
      <c r="BI26" s="233"/>
      <c r="BJ26" s="233"/>
      <c r="BK26" s="233" t="s">
        <v>116</v>
      </c>
      <c r="BL26" s="233"/>
      <c r="BM26" s="233"/>
      <c r="BN26" s="233"/>
      <c r="BO26" s="233"/>
      <c r="BP26" s="233"/>
      <c r="BQ26" s="233"/>
      <c r="BR26" s="233"/>
      <c r="BS26" s="233"/>
      <c r="BT26" s="233"/>
      <c r="BU26" s="233"/>
      <c r="BV26" s="233"/>
    </row>
    <row r="27" spans="11:76" x14ac:dyDescent="0.2">
      <c r="K27" s="246"/>
      <c r="L27" s="232"/>
      <c r="M27" s="232"/>
      <c r="N27" s="232"/>
      <c r="O27" s="6" t="s">
        <v>145</v>
      </c>
      <c r="P27" s="6" t="s">
        <v>146</v>
      </c>
      <c r="Q27" s="6" t="s">
        <v>147</v>
      </c>
      <c r="R27" s="6" t="s">
        <v>148</v>
      </c>
      <c r="S27" s="6" t="s">
        <v>149</v>
      </c>
      <c r="T27" s="6" t="s">
        <v>150</v>
      </c>
      <c r="U27" s="6" t="s">
        <v>151</v>
      </c>
      <c r="V27" s="6" t="s">
        <v>256</v>
      </c>
      <c r="W27" s="6" t="s">
        <v>153</v>
      </c>
      <c r="X27" s="6" t="s">
        <v>154</v>
      </c>
      <c r="Y27" s="6" t="s">
        <v>155</v>
      </c>
      <c r="Z27" s="6" t="s">
        <v>257</v>
      </c>
      <c r="AA27" s="6" t="s">
        <v>145</v>
      </c>
      <c r="AB27" s="6" t="s">
        <v>146</v>
      </c>
      <c r="AC27" s="6" t="s">
        <v>147</v>
      </c>
      <c r="AD27" s="6" t="s">
        <v>148</v>
      </c>
      <c r="AE27" s="6" t="s">
        <v>149</v>
      </c>
      <c r="AF27" s="6" t="s">
        <v>150</v>
      </c>
      <c r="AG27" s="6" t="s">
        <v>151</v>
      </c>
      <c r="AH27" s="6" t="s">
        <v>256</v>
      </c>
      <c r="AI27" s="6" t="s">
        <v>153</v>
      </c>
      <c r="AJ27" s="6" t="s">
        <v>154</v>
      </c>
      <c r="AK27" s="6" t="s">
        <v>155</v>
      </c>
      <c r="AL27" s="6" t="s">
        <v>257</v>
      </c>
      <c r="AM27" s="6" t="s">
        <v>145</v>
      </c>
      <c r="AN27" s="6" t="s">
        <v>146</v>
      </c>
      <c r="AO27" s="6" t="s">
        <v>147</v>
      </c>
      <c r="AP27" s="6" t="s">
        <v>148</v>
      </c>
      <c r="AQ27" s="6" t="s">
        <v>149</v>
      </c>
      <c r="AR27" s="6" t="s">
        <v>150</v>
      </c>
      <c r="AS27" s="6" t="s">
        <v>151</v>
      </c>
      <c r="AT27" s="6" t="s">
        <v>256</v>
      </c>
      <c r="AU27" s="6" t="s">
        <v>153</v>
      </c>
      <c r="AV27" s="6" t="s">
        <v>154</v>
      </c>
      <c r="AW27" s="6" t="s">
        <v>155</v>
      </c>
      <c r="AX27" s="6" t="s">
        <v>257</v>
      </c>
      <c r="AY27" s="6" t="s">
        <v>145</v>
      </c>
      <c r="AZ27" s="6" t="s">
        <v>146</v>
      </c>
      <c r="BA27" s="6" t="s">
        <v>147</v>
      </c>
      <c r="BB27" s="6" t="s">
        <v>148</v>
      </c>
      <c r="BC27" s="6" t="s">
        <v>149</v>
      </c>
      <c r="BD27" s="6" t="s">
        <v>150</v>
      </c>
      <c r="BE27" s="6" t="s">
        <v>151</v>
      </c>
      <c r="BF27" s="6" t="s">
        <v>256</v>
      </c>
      <c r="BG27" s="6" t="s">
        <v>153</v>
      </c>
      <c r="BH27" s="6" t="s">
        <v>154</v>
      </c>
      <c r="BI27" s="6" t="s">
        <v>155</v>
      </c>
      <c r="BJ27" s="6" t="s">
        <v>257</v>
      </c>
      <c r="BK27" s="6" t="s">
        <v>145</v>
      </c>
      <c r="BL27" s="6" t="s">
        <v>146</v>
      </c>
      <c r="BM27" s="6" t="s">
        <v>147</v>
      </c>
      <c r="BN27" s="6" t="s">
        <v>148</v>
      </c>
      <c r="BO27" s="6" t="s">
        <v>149</v>
      </c>
      <c r="BP27" s="6" t="s">
        <v>150</v>
      </c>
      <c r="BQ27" s="6" t="s">
        <v>151</v>
      </c>
      <c r="BR27" s="6" t="s">
        <v>256</v>
      </c>
      <c r="BS27" s="6" t="s">
        <v>153</v>
      </c>
      <c r="BT27" s="6" t="s">
        <v>154</v>
      </c>
      <c r="BU27" s="6" t="s">
        <v>155</v>
      </c>
      <c r="BV27" s="6" t="s">
        <v>257</v>
      </c>
    </row>
    <row r="28" spans="11:76" x14ac:dyDescent="0.2">
      <c r="K28" s="131" t="s">
        <v>258</v>
      </c>
      <c r="L28" s="131"/>
      <c r="M28" s="131"/>
      <c r="N28" s="131"/>
      <c r="O28" s="128">
        <v>0.1</v>
      </c>
      <c r="P28" s="128">
        <v>0.2</v>
      </c>
      <c r="Q28" s="128">
        <v>0.3</v>
      </c>
      <c r="R28" s="128">
        <v>0.5</v>
      </c>
      <c r="S28" s="128">
        <v>0.7</v>
      </c>
      <c r="T28" s="128">
        <v>0.85</v>
      </c>
      <c r="U28" s="128">
        <v>1</v>
      </c>
      <c r="V28" s="128">
        <v>1</v>
      </c>
      <c r="W28" s="128">
        <v>1</v>
      </c>
      <c r="X28" s="128">
        <v>1</v>
      </c>
      <c r="Y28" s="128">
        <v>1</v>
      </c>
      <c r="Z28" s="128">
        <v>1</v>
      </c>
      <c r="AA28" s="128">
        <v>1.1499999999999999</v>
      </c>
      <c r="AB28" s="128">
        <v>1.1499999999999999</v>
      </c>
      <c r="AC28" s="128">
        <v>1.1499999999999999</v>
      </c>
      <c r="AD28" s="128">
        <v>1.1499999999999999</v>
      </c>
      <c r="AE28" s="128">
        <v>1.1499999999999999</v>
      </c>
      <c r="AF28" s="128">
        <v>1.1499999999999999</v>
      </c>
      <c r="AG28" s="128">
        <v>1.1499999999999999</v>
      </c>
      <c r="AH28" s="128">
        <v>1.1499999999999999</v>
      </c>
      <c r="AI28" s="128">
        <v>1.1499999999999999</v>
      </c>
      <c r="AJ28" s="128">
        <v>1.1499999999999999</v>
      </c>
      <c r="AK28" s="128">
        <v>1.1499999999999999</v>
      </c>
      <c r="AL28" s="128">
        <v>1.1499999999999999</v>
      </c>
      <c r="AM28" s="128">
        <v>1.3</v>
      </c>
      <c r="AN28" s="128">
        <v>1.3</v>
      </c>
      <c r="AO28" s="128">
        <v>1.3</v>
      </c>
      <c r="AP28" s="128">
        <v>1.3</v>
      </c>
      <c r="AQ28" s="128">
        <v>1.3</v>
      </c>
      <c r="AR28" s="128">
        <v>1.3</v>
      </c>
      <c r="AS28" s="128">
        <v>1.3</v>
      </c>
      <c r="AT28" s="128">
        <v>1.3</v>
      </c>
      <c r="AU28" s="128">
        <v>1.3</v>
      </c>
      <c r="AV28" s="128">
        <v>1.3</v>
      </c>
      <c r="AW28" s="128">
        <v>1.3</v>
      </c>
      <c r="AX28" s="128">
        <v>1.3</v>
      </c>
      <c r="AY28" s="128">
        <v>1.45</v>
      </c>
      <c r="AZ28" s="128">
        <v>1.45</v>
      </c>
      <c r="BA28" s="128">
        <v>1.45</v>
      </c>
      <c r="BB28" s="128">
        <v>1.45</v>
      </c>
      <c r="BC28" s="128">
        <v>1.45</v>
      </c>
      <c r="BD28" s="128">
        <v>1.45</v>
      </c>
      <c r="BE28" s="128">
        <v>1.45</v>
      </c>
      <c r="BF28" s="128">
        <v>1.45</v>
      </c>
      <c r="BG28" s="128">
        <v>1.45</v>
      </c>
      <c r="BH28" s="128">
        <v>1.45</v>
      </c>
      <c r="BI28" s="128">
        <v>1.45</v>
      </c>
      <c r="BJ28" s="128">
        <v>1.45</v>
      </c>
      <c r="BK28" s="128">
        <v>1.6</v>
      </c>
      <c r="BL28" s="128">
        <v>1.6</v>
      </c>
      <c r="BM28" s="128">
        <v>1.6</v>
      </c>
      <c r="BN28" s="128">
        <v>1.6</v>
      </c>
      <c r="BO28" s="128">
        <v>1.6</v>
      </c>
      <c r="BP28" s="128">
        <v>1.6</v>
      </c>
      <c r="BQ28" s="128">
        <v>1.6</v>
      </c>
      <c r="BR28" s="128">
        <v>1.6</v>
      </c>
      <c r="BS28" s="128">
        <v>1.6</v>
      </c>
      <c r="BT28" s="128">
        <v>1.6</v>
      </c>
      <c r="BU28" s="128">
        <v>1.6</v>
      </c>
      <c r="BV28" s="128">
        <v>1.6</v>
      </c>
    </row>
    <row r="29" spans="11:76" x14ac:dyDescent="0.2">
      <c r="K29" s="131" t="s">
        <v>259</v>
      </c>
      <c r="L29" s="131">
        <v>500</v>
      </c>
      <c r="M29" s="131">
        <f>L29*8</f>
        <v>4000</v>
      </c>
      <c r="N29" s="131">
        <f>M29*30</f>
        <v>120000</v>
      </c>
      <c r="O29" s="11">
        <f t="shared" ref="O29:AT29" si="12">$N$29*O28</f>
        <v>12000</v>
      </c>
      <c r="P29" s="11">
        <f t="shared" si="12"/>
        <v>24000</v>
      </c>
      <c r="Q29" s="11">
        <f t="shared" si="12"/>
        <v>36000</v>
      </c>
      <c r="R29" s="11">
        <f t="shared" si="12"/>
        <v>60000</v>
      </c>
      <c r="S29" s="11">
        <f t="shared" si="12"/>
        <v>84000</v>
      </c>
      <c r="T29" s="11">
        <f t="shared" si="12"/>
        <v>102000</v>
      </c>
      <c r="U29" s="11">
        <f t="shared" si="12"/>
        <v>120000</v>
      </c>
      <c r="V29" s="11">
        <f t="shared" si="12"/>
        <v>120000</v>
      </c>
      <c r="W29" s="11">
        <f t="shared" si="12"/>
        <v>120000</v>
      </c>
      <c r="X29" s="11">
        <f t="shared" si="12"/>
        <v>120000</v>
      </c>
      <c r="Y29" s="11">
        <f t="shared" si="12"/>
        <v>120000</v>
      </c>
      <c r="Z29" s="11">
        <f t="shared" si="12"/>
        <v>120000</v>
      </c>
      <c r="AA29" s="11">
        <f t="shared" si="12"/>
        <v>138000</v>
      </c>
      <c r="AB29" s="11">
        <f t="shared" si="12"/>
        <v>138000</v>
      </c>
      <c r="AC29" s="11">
        <f t="shared" si="12"/>
        <v>138000</v>
      </c>
      <c r="AD29" s="11">
        <f t="shared" si="12"/>
        <v>138000</v>
      </c>
      <c r="AE29" s="11">
        <f t="shared" si="12"/>
        <v>138000</v>
      </c>
      <c r="AF29" s="11">
        <f t="shared" si="12"/>
        <v>138000</v>
      </c>
      <c r="AG29" s="11">
        <f t="shared" si="12"/>
        <v>138000</v>
      </c>
      <c r="AH29" s="11">
        <f t="shared" si="12"/>
        <v>138000</v>
      </c>
      <c r="AI29" s="11">
        <f t="shared" si="12"/>
        <v>138000</v>
      </c>
      <c r="AJ29" s="11">
        <f t="shared" si="12"/>
        <v>138000</v>
      </c>
      <c r="AK29" s="11">
        <f t="shared" si="12"/>
        <v>138000</v>
      </c>
      <c r="AL29" s="11">
        <f t="shared" si="12"/>
        <v>138000</v>
      </c>
      <c r="AM29" s="11">
        <f t="shared" si="12"/>
        <v>156000</v>
      </c>
      <c r="AN29" s="11">
        <f t="shared" si="12"/>
        <v>156000</v>
      </c>
      <c r="AO29" s="11">
        <f t="shared" si="12"/>
        <v>156000</v>
      </c>
      <c r="AP29" s="11">
        <f t="shared" si="12"/>
        <v>156000</v>
      </c>
      <c r="AQ29" s="11">
        <f t="shared" si="12"/>
        <v>156000</v>
      </c>
      <c r="AR29" s="11">
        <f t="shared" si="12"/>
        <v>156000</v>
      </c>
      <c r="AS29" s="11">
        <f t="shared" si="12"/>
        <v>156000</v>
      </c>
      <c r="AT29" s="11">
        <f t="shared" si="12"/>
        <v>156000</v>
      </c>
      <c r="AU29" s="11">
        <f t="shared" ref="AU29:BV29" si="13">$N$29*AU28</f>
        <v>156000</v>
      </c>
      <c r="AV29" s="11">
        <f t="shared" si="13"/>
        <v>156000</v>
      </c>
      <c r="AW29" s="11">
        <f t="shared" si="13"/>
        <v>156000</v>
      </c>
      <c r="AX29" s="11">
        <f t="shared" si="13"/>
        <v>156000</v>
      </c>
      <c r="AY29" s="11">
        <f t="shared" si="13"/>
        <v>174000</v>
      </c>
      <c r="AZ29" s="11">
        <f t="shared" si="13"/>
        <v>174000</v>
      </c>
      <c r="BA29" s="11">
        <f t="shared" si="13"/>
        <v>174000</v>
      </c>
      <c r="BB29" s="11">
        <f t="shared" si="13"/>
        <v>174000</v>
      </c>
      <c r="BC29" s="11">
        <f t="shared" si="13"/>
        <v>174000</v>
      </c>
      <c r="BD29" s="11">
        <f t="shared" si="13"/>
        <v>174000</v>
      </c>
      <c r="BE29" s="11">
        <f t="shared" si="13"/>
        <v>174000</v>
      </c>
      <c r="BF29" s="11">
        <f t="shared" si="13"/>
        <v>174000</v>
      </c>
      <c r="BG29" s="11">
        <f t="shared" si="13"/>
        <v>174000</v>
      </c>
      <c r="BH29" s="11">
        <f t="shared" si="13"/>
        <v>174000</v>
      </c>
      <c r="BI29" s="11">
        <f t="shared" si="13"/>
        <v>174000</v>
      </c>
      <c r="BJ29" s="11">
        <f t="shared" si="13"/>
        <v>174000</v>
      </c>
      <c r="BK29" s="11">
        <f t="shared" si="13"/>
        <v>192000</v>
      </c>
      <c r="BL29" s="11">
        <f t="shared" si="13"/>
        <v>192000</v>
      </c>
      <c r="BM29" s="11">
        <f t="shared" si="13"/>
        <v>192000</v>
      </c>
      <c r="BN29" s="11">
        <f t="shared" si="13"/>
        <v>192000</v>
      </c>
      <c r="BO29" s="11">
        <f t="shared" si="13"/>
        <v>192000</v>
      </c>
      <c r="BP29" s="11">
        <f t="shared" si="13"/>
        <v>192000</v>
      </c>
      <c r="BQ29" s="11">
        <f t="shared" si="13"/>
        <v>192000</v>
      </c>
      <c r="BR29" s="11">
        <f t="shared" si="13"/>
        <v>192000</v>
      </c>
      <c r="BS29" s="11">
        <f t="shared" si="13"/>
        <v>192000</v>
      </c>
      <c r="BT29" s="11">
        <f t="shared" si="13"/>
        <v>192000</v>
      </c>
      <c r="BU29" s="11">
        <f t="shared" si="13"/>
        <v>192000</v>
      </c>
      <c r="BV29" s="11">
        <f t="shared" si="13"/>
        <v>192000</v>
      </c>
    </row>
    <row r="30" spans="11:76" x14ac:dyDescent="0.2">
      <c r="K30" s="131" t="s">
        <v>260</v>
      </c>
      <c r="L30" s="131">
        <v>350</v>
      </c>
      <c r="M30" s="131">
        <f>L30*8</f>
        <v>2800</v>
      </c>
      <c r="N30" s="131">
        <f>M30*30</f>
        <v>84000</v>
      </c>
      <c r="O30" s="11">
        <f t="shared" ref="O30:AT30" si="14">$N$30*O28</f>
        <v>8400</v>
      </c>
      <c r="P30" s="11">
        <f t="shared" si="14"/>
        <v>16800</v>
      </c>
      <c r="Q30" s="11">
        <f t="shared" si="14"/>
        <v>25200</v>
      </c>
      <c r="R30" s="11">
        <f t="shared" si="14"/>
        <v>42000</v>
      </c>
      <c r="S30" s="11">
        <f t="shared" si="14"/>
        <v>58799.999999999993</v>
      </c>
      <c r="T30" s="11">
        <f t="shared" si="14"/>
        <v>71400</v>
      </c>
      <c r="U30" s="11">
        <f t="shared" si="14"/>
        <v>84000</v>
      </c>
      <c r="V30" s="11">
        <f t="shared" si="14"/>
        <v>84000</v>
      </c>
      <c r="W30" s="11">
        <f t="shared" si="14"/>
        <v>84000</v>
      </c>
      <c r="X30" s="11">
        <f t="shared" si="14"/>
        <v>84000</v>
      </c>
      <c r="Y30" s="11">
        <f t="shared" si="14"/>
        <v>84000</v>
      </c>
      <c r="Z30" s="11">
        <f t="shared" si="14"/>
        <v>84000</v>
      </c>
      <c r="AA30" s="11">
        <f t="shared" si="14"/>
        <v>96599.999999999985</v>
      </c>
      <c r="AB30" s="11">
        <f t="shared" si="14"/>
        <v>96599.999999999985</v>
      </c>
      <c r="AC30" s="11">
        <f t="shared" si="14"/>
        <v>96599.999999999985</v>
      </c>
      <c r="AD30" s="11">
        <f t="shared" si="14"/>
        <v>96599.999999999985</v>
      </c>
      <c r="AE30" s="11">
        <f t="shared" si="14"/>
        <v>96599.999999999985</v>
      </c>
      <c r="AF30" s="11">
        <f t="shared" si="14"/>
        <v>96599.999999999985</v>
      </c>
      <c r="AG30" s="11">
        <f t="shared" si="14"/>
        <v>96599.999999999985</v>
      </c>
      <c r="AH30" s="11">
        <f t="shared" si="14"/>
        <v>96599.999999999985</v>
      </c>
      <c r="AI30" s="11">
        <f t="shared" si="14"/>
        <v>96599.999999999985</v>
      </c>
      <c r="AJ30" s="11">
        <f t="shared" si="14"/>
        <v>96599.999999999985</v>
      </c>
      <c r="AK30" s="11">
        <f t="shared" si="14"/>
        <v>96599.999999999985</v>
      </c>
      <c r="AL30" s="11">
        <f t="shared" si="14"/>
        <v>96599.999999999985</v>
      </c>
      <c r="AM30" s="11">
        <f t="shared" si="14"/>
        <v>109200</v>
      </c>
      <c r="AN30" s="11">
        <f t="shared" si="14"/>
        <v>109200</v>
      </c>
      <c r="AO30" s="11">
        <f t="shared" si="14"/>
        <v>109200</v>
      </c>
      <c r="AP30" s="11">
        <f t="shared" si="14"/>
        <v>109200</v>
      </c>
      <c r="AQ30" s="11">
        <f t="shared" si="14"/>
        <v>109200</v>
      </c>
      <c r="AR30" s="11">
        <f t="shared" si="14"/>
        <v>109200</v>
      </c>
      <c r="AS30" s="11">
        <f t="shared" si="14"/>
        <v>109200</v>
      </c>
      <c r="AT30" s="11">
        <f t="shared" si="14"/>
        <v>109200</v>
      </c>
      <c r="AU30" s="11">
        <f t="shared" ref="AU30:BV30" si="15">$N$30*AU28</f>
        <v>109200</v>
      </c>
      <c r="AV30" s="11">
        <f t="shared" si="15"/>
        <v>109200</v>
      </c>
      <c r="AW30" s="11">
        <f t="shared" si="15"/>
        <v>109200</v>
      </c>
      <c r="AX30" s="11">
        <f t="shared" si="15"/>
        <v>109200</v>
      </c>
      <c r="AY30" s="11">
        <f t="shared" si="15"/>
        <v>121800</v>
      </c>
      <c r="AZ30" s="11">
        <f t="shared" si="15"/>
        <v>121800</v>
      </c>
      <c r="BA30" s="11">
        <f t="shared" si="15"/>
        <v>121800</v>
      </c>
      <c r="BB30" s="11">
        <f t="shared" si="15"/>
        <v>121800</v>
      </c>
      <c r="BC30" s="11">
        <f t="shared" si="15"/>
        <v>121800</v>
      </c>
      <c r="BD30" s="11">
        <f t="shared" si="15"/>
        <v>121800</v>
      </c>
      <c r="BE30" s="11">
        <f t="shared" si="15"/>
        <v>121800</v>
      </c>
      <c r="BF30" s="11">
        <f t="shared" si="15"/>
        <v>121800</v>
      </c>
      <c r="BG30" s="11">
        <f t="shared" si="15"/>
        <v>121800</v>
      </c>
      <c r="BH30" s="11">
        <f t="shared" si="15"/>
        <v>121800</v>
      </c>
      <c r="BI30" s="11">
        <f t="shared" si="15"/>
        <v>121800</v>
      </c>
      <c r="BJ30" s="11">
        <f t="shared" si="15"/>
        <v>121800</v>
      </c>
      <c r="BK30" s="11">
        <f t="shared" si="15"/>
        <v>134400</v>
      </c>
      <c r="BL30" s="11">
        <f t="shared" si="15"/>
        <v>134400</v>
      </c>
      <c r="BM30" s="11">
        <f t="shared" si="15"/>
        <v>134400</v>
      </c>
      <c r="BN30" s="11">
        <f t="shared" si="15"/>
        <v>134400</v>
      </c>
      <c r="BO30" s="11">
        <f t="shared" si="15"/>
        <v>134400</v>
      </c>
      <c r="BP30" s="11">
        <f t="shared" si="15"/>
        <v>134400</v>
      </c>
      <c r="BQ30" s="11">
        <f t="shared" si="15"/>
        <v>134400</v>
      </c>
      <c r="BR30" s="11">
        <f t="shared" si="15"/>
        <v>134400</v>
      </c>
      <c r="BS30" s="11">
        <f t="shared" si="15"/>
        <v>134400</v>
      </c>
      <c r="BT30" s="11">
        <f t="shared" si="15"/>
        <v>134400</v>
      </c>
      <c r="BU30" s="11">
        <f t="shared" si="15"/>
        <v>134400</v>
      </c>
      <c r="BV30" s="11">
        <f t="shared" si="15"/>
        <v>134400</v>
      </c>
    </row>
    <row r="31" spans="11:76" x14ac:dyDescent="0.2">
      <c r="K31" s="131" t="s">
        <v>261</v>
      </c>
      <c r="L31" s="131">
        <v>125</v>
      </c>
      <c r="M31" s="131">
        <f>L31*8</f>
        <v>1000</v>
      </c>
      <c r="N31" s="131">
        <f>M31*30</f>
        <v>30000</v>
      </c>
      <c r="O31" s="11">
        <f t="shared" ref="O31:AT31" si="16">$N$31*O28</f>
        <v>3000</v>
      </c>
      <c r="P31" s="11">
        <f t="shared" si="16"/>
        <v>6000</v>
      </c>
      <c r="Q31" s="11">
        <f t="shared" si="16"/>
        <v>9000</v>
      </c>
      <c r="R31" s="11">
        <f t="shared" si="16"/>
        <v>15000</v>
      </c>
      <c r="S31" s="11">
        <f t="shared" si="16"/>
        <v>21000</v>
      </c>
      <c r="T31" s="11">
        <f t="shared" si="16"/>
        <v>25500</v>
      </c>
      <c r="U31" s="11">
        <f t="shared" si="16"/>
        <v>30000</v>
      </c>
      <c r="V31" s="11">
        <f t="shared" si="16"/>
        <v>30000</v>
      </c>
      <c r="W31" s="11">
        <f t="shared" si="16"/>
        <v>30000</v>
      </c>
      <c r="X31" s="11">
        <f t="shared" si="16"/>
        <v>30000</v>
      </c>
      <c r="Y31" s="11">
        <f t="shared" si="16"/>
        <v>30000</v>
      </c>
      <c r="Z31" s="11">
        <f t="shared" si="16"/>
        <v>30000</v>
      </c>
      <c r="AA31" s="11">
        <f t="shared" si="16"/>
        <v>34500</v>
      </c>
      <c r="AB31" s="11">
        <f t="shared" si="16"/>
        <v>34500</v>
      </c>
      <c r="AC31" s="11">
        <f t="shared" si="16"/>
        <v>34500</v>
      </c>
      <c r="AD31" s="11">
        <f t="shared" si="16"/>
        <v>34500</v>
      </c>
      <c r="AE31" s="11">
        <f t="shared" si="16"/>
        <v>34500</v>
      </c>
      <c r="AF31" s="11">
        <f t="shared" si="16"/>
        <v>34500</v>
      </c>
      <c r="AG31" s="11">
        <f t="shared" si="16"/>
        <v>34500</v>
      </c>
      <c r="AH31" s="11">
        <f t="shared" si="16"/>
        <v>34500</v>
      </c>
      <c r="AI31" s="11">
        <f t="shared" si="16"/>
        <v>34500</v>
      </c>
      <c r="AJ31" s="11">
        <f t="shared" si="16"/>
        <v>34500</v>
      </c>
      <c r="AK31" s="11">
        <f t="shared" si="16"/>
        <v>34500</v>
      </c>
      <c r="AL31" s="11">
        <f t="shared" si="16"/>
        <v>34500</v>
      </c>
      <c r="AM31" s="11">
        <f t="shared" si="16"/>
        <v>39000</v>
      </c>
      <c r="AN31" s="11">
        <f t="shared" si="16"/>
        <v>39000</v>
      </c>
      <c r="AO31" s="11">
        <f t="shared" si="16"/>
        <v>39000</v>
      </c>
      <c r="AP31" s="11">
        <f t="shared" si="16"/>
        <v>39000</v>
      </c>
      <c r="AQ31" s="11">
        <f t="shared" si="16"/>
        <v>39000</v>
      </c>
      <c r="AR31" s="11">
        <f t="shared" si="16"/>
        <v>39000</v>
      </c>
      <c r="AS31" s="11">
        <f t="shared" si="16"/>
        <v>39000</v>
      </c>
      <c r="AT31" s="11">
        <f t="shared" si="16"/>
        <v>39000</v>
      </c>
      <c r="AU31" s="11">
        <f t="shared" ref="AU31:BV31" si="17">$N$31*AU28</f>
        <v>39000</v>
      </c>
      <c r="AV31" s="11">
        <f t="shared" si="17"/>
        <v>39000</v>
      </c>
      <c r="AW31" s="11">
        <f t="shared" si="17"/>
        <v>39000</v>
      </c>
      <c r="AX31" s="11">
        <f t="shared" si="17"/>
        <v>39000</v>
      </c>
      <c r="AY31" s="11">
        <f t="shared" si="17"/>
        <v>43500</v>
      </c>
      <c r="AZ31" s="11">
        <f t="shared" si="17"/>
        <v>43500</v>
      </c>
      <c r="BA31" s="11">
        <f t="shared" si="17"/>
        <v>43500</v>
      </c>
      <c r="BB31" s="11">
        <f t="shared" si="17"/>
        <v>43500</v>
      </c>
      <c r="BC31" s="11">
        <f t="shared" si="17"/>
        <v>43500</v>
      </c>
      <c r="BD31" s="11">
        <f t="shared" si="17"/>
        <v>43500</v>
      </c>
      <c r="BE31" s="11">
        <f t="shared" si="17"/>
        <v>43500</v>
      </c>
      <c r="BF31" s="11">
        <f t="shared" si="17"/>
        <v>43500</v>
      </c>
      <c r="BG31" s="11">
        <f t="shared" si="17"/>
        <v>43500</v>
      </c>
      <c r="BH31" s="11">
        <f t="shared" si="17"/>
        <v>43500</v>
      </c>
      <c r="BI31" s="11">
        <f t="shared" si="17"/>
        <v>43500</v>
      </c>
      <c r="BJ31" s="11">
        <f t="shared" si="17"/>
        <v>43500</v>
      </c>
      <c r="BK31" s="11">
        <f t="shared" si="17"/>
        <v>48000</v>
      </c>
      <c r="BL31" s="11">
        <f t="shared" si="17"/>
        <v>48000</v>
      </c>
      <c r="BM31" s="11">
        <f t="shared" si="17"/>
        <v>48000</v>
      </c>
      <c r="BN31" s="11">
        <f t="shared" si="17"/>
        <v>48000</v>
      </c>
      <c r="BO31" s="11">
        <f t="shared" si="17"/>
        <v>48000</v>
      </c>
      <c r="BP31" s="11">
        <f t="shared" si="17"/>
        <v>48000</v>
      </c>
      <c r="BQ31" s="11">
        <f t="shared" si="17"/>
        <v>48000</v>
      </c>
      <c r="BR31" s="11">
        <f t="shared" si="17"/>
        <v>48000</v>
      </c>
      <c r="BS31" s="11">
        <f t="shared" si="17"/>
        <v>48000</v>
      </c>
      <c r="BT31" s="11">
        <f t="shared" si="17"/>
        <v>48000</v>
      </c>
      <c r="BU31" s="11">
        <f t="shared" si="17"/>
        <v>48000</v>
      </c>
      <c r="BV31" s="11">
        <f t="shared" si="17"/>
        <v>48000</v>
      </c>
    </row>
    <row r="32" spans="11:76" x14ac:dyDescent="0.2">
      <c r="K32" s="236" t="s">
        <v>262</v>
      </c>
      <c r="L32" s="236"/>
      <c r="M32" s="132"/>
      <c r="N32" s="132"/>
      <c r="O32" s="133">
        <f t="shared" ref="O32:AT32" si="18">SUM(O28:O31)</f>
        <v>23400.1</v>
      </c>
      <c r="P32" s="133">
        <f t="shared" si="18"/>
        <v>46800.2</v>
      </c>
      <c r="Q32" s="133">
        <f t="shared" si="18"/>
        <v>70200.3</v>
      </c>
      <c r="R32" s="133">
        <f t="shared" si="18"/>
        <v>117000.5</v>
      </c>
      <c r="S32" s="133">
        <f t="shared" si="18"/>
        <v>163800.69999999998</v>
      </c>
      <c r="T32" s="133">
        <f t="shared" si="18"/>
        <v>198900.85</v>
      </c>
      <c r="U32" s="133">
        <f t="shared" si="18"/>
        <v>234001</v>
      </c>
      <c r="V32" s="133">
        <f t="shared" si="18"/>
        <v>234001</v>
      </c>
      <c r="W32" s="133">
        <f t="shared" si="18"/>
        <v>234001</v>
      </c>
      <c r="X32" s="133">
        <f t="shared" si="18"/>
        <v>234001</v>
      </c>
      <c r="Y32" s="133">
        <f t="shared" si="18"/>
        <v>234001</v>
      </c>
      <c r="Z32" s="133">
        <f t="shared" si="18"/>
        <v>234001</v>
      </c>
      <c r="AA32" s="133">
        <f t="shared" si="18"/>
        <v>269101.14999999997</v>
      </c>
      <c r="AB32" s="133">
        <f t="shared" si="18"/>
        <v>269101.14999999997</v>
      </c>
      <c r="AC32" s="133">
        <f t="shared" si="18"/>
        <v>269101.14999999997</v>
      </c>
      <c r="AD32" s="133">
        <f t="shared" si="18"/>
        <v>269101.14999999997</v>
      </c>
      <c r="AE32" s="133">
        <f t="shared" si="18"/>
        <v>269101.14999999997</v>
      </c>
      <c r="AF32" s="133">
        <f t="shared" si="18"/>
        <v>269101.14999999997</v>
      </c>
      <c r="AG32" s="133">
        <f t="shared" si="18"/>
        <v>269101.14999999997</v>
      </c>
      <c r="AH32" s="133">
        <f t="shared" si="18"/>
        <v>269101.14999999997</v>
      </c>
      <c r="AI32" s="133">
        <f t="shared" si="18"/>
        <v>269101.14999999997</v>
      </c>
      <c r="AJ32" s="133">
        <f t="shared" si="18"/>
        <v>269101.14999999997</v>
      </c>
      <c r="AK32" s="133">
        <f t="shared" si="18"/>
        <v>269101.14999999997</v>
      </c>
      <c r="AL32" s="133">
        <f t="shared" si="18"/>
        <v>269101.14999999997</v>
      </c>
      <c r="AM32" s="133">
        <f t="shared" si="18"/>
        <v>304201.3</v>
      </c>
      <c r="AN32" s="133">
        <f t="shared" si="18"/>
        <v>304201.3</v>
      </c>
      <c r="AO32" s="133">
        <f t="shared" si="18"/>
        <v>304201.3</v>
      </c>
      <c r="AP32" s="133">
        <f t="shared" si="18"/>
        <v>304201.3</v>
      </c>
      <c r="AQ32" s="133">
        <f t="shared" si="18"/>
        <v>304201.3</v>
      </c>
      <c r="AR32" s="133">
        <f t="shared" si="18"/>
        <v>304201.3</v>
      </c>
      <c r="AS32" s="133">
        <f t="shared" si="18"/>
        <v>304201.3</v>
      </c>
      <c r="AT32" s="133">
        <f t="shared" si="18"/>
        <v>304201.3</v>
      </c>
      <c r="AU32" s="133">
        <f t="shared" ref="AU32:BV32" si="19">SUM(AU28:AU31)</f>
        <v>304201.3</v>
      </c>
      <c r="AV32" s="133">
        <f t="shared" si="19"/>
        <v>304201.3</v>
      </c>
      <c r="AW32" s="133">
        <f t="shared" si="19"/>
        <v>304201.3</v>
      </c>
      <c r="AX32" s="133">
        <f t="shared" si="19"/>
        <v>304201.3</v>
      </c>
      <c r="AY32" s="133">
        <f t="shared" si="19"/>
        <v>339301.45</v>
      </c>
      <c r="AZ32" s="133">
        <f t="shared" si="19"/>
        <v>339301.45</v>
      </c>
      <c r="BA32" s="133">
        <f t="shared" si="19"/>
        <v>339301.45</v>
      </c>
      <c r="BB32" s="133">
        <f t="shared" si="19"/>
        <v>339301.45</v>
      </c>
      <c r="BC32" s="133">
        <f t="shared" si="19"/>
        <v>339301.45</v>
      </c>
      <c r="BD32" s="133">
        <f t="shared" si="19"/>
        <v>339301.45</v>
      </c>
      <c r="BE32" s="133">
        <f t="shared" si="19"/>
        <v>339301.45</v>
      </c>
      <c r="BF32" s="133">
        <f t="shared" si="19"/>
        <v>339301.45</v>
      </c>
      <c r="BG32" s="133">
        <f t="shared" si="19"/>
        <v>339301.45</v>
      </c>
      <c r="BH32" s="133">
        <f t="shared" si="19"/>
        <v>339301.45</v>
      </c>
      <c r="BI32" s="133">
        <f t="shared" si="19"/>
        <v>339301.45</v>
      </c>
      <c r="BJ32" s="133">
        <f t="shared" si="19"/>
        <v>339301.45</v>
      </c>
      <c r="BK32" s="133">
        <f t="shared" si="19"/>
        <v>374401.6</v>
      </c>
      <c r="BL32" s="133">
        <f t="shared" si="19"/>
        <v>374401.6</v>
      </c>
      <c r="BM32" s="133">
        <f t="shared" si="19"/>
        <v>374401.6</v>
      </c>
      <c r="BN32" s="133">
        <f t="shared" si="19"/>
        <v>374401.6</v>
      </c>
      <c r="BO32" s="133">
        <f t="shared" si="19"/>
        <v>374401.6</v>
      </c>
      <c r="BP32" s="133">
        <f t="shared" si="19"/>
        <v>374401.6</v>
      </c>
      <c r="BQ32" s="133">
        <f t="shared" si="19"/>
        <v>374401.6</v>
      </c>
      <c r="BR32" s="133">
        <f t="shared" si="19"/>
        <v>374401.6</v>
      </c>
      <c r="BS32" s="133">
        <f t="shared" si="19"/>
        <v>374401.6</v>
      </c>
      <c r="BT32" s="133">
        <f t="shared" si="19"/>
        <v>374401.6</v>
      </c>
      <c r="BU32" s="133">
        <f t="shared" si="19"/>
        <v>374401.6</v>
      </c>
      <c r="BV32" s="133">
        <f t="shared" si="19"/>
        <v>374401.6</v>
      </c>
    </row>
    <row r="33" spans="2:74" x14ac:dyDescent="0.2">
      <c r="K33" s="135" t="s">
        <v>263</v>
      </c>
      <c r="L33" s="135"/>
      <c r="M33" s="135"/>
      <c r="N33" s="135"/>
      <c r="O33" s="135">
        <v>3</v>
      </c>
    </row>
    <row r="35" spans="2:74" ht="25.5" customHeight="1" x14ac:dyDescent="0.2">
      <c r="B35" s="167" t="s">
        <v>297</v>
      </c>
      <c r="C35" s="39" t="s">
        <v>275</v>
      </c>
      <c r="D35" s="39" t="s">
        <v>276</v>
      </c>
      <c r="E35" s="39" t="s">
        <v>277</v>
      </c>
      <c r="K35" s="246" t="s">
        <v>298</v>
      </c>
      <c r="L35" s="232" t="s">
        <v>299</v>
      </c>
      <c r="M35" s="232" t="s">
        <v>252</v>
      </c>
      <c r="N35" s="232" t="s">
        <v>281</v>
      </c>
      <c r="O35" s="233" t="s">
        <v>112</v>
      </c>
      <c r="P35" s="233"/>
      <c r="Q35" s="233"/>
      <c r="R35" s="233"/>
      <c r="S35" s="233"/>
      <c r="T35" s="233"/>
      <c r="U35" s="233"/>
      <c r="V35" s="233"/>
      <c r="W35" s="233"/>
      <c r="X35" s="233"/>
      <c r="Y35" s="233"/>
      <c r="Z35" s="233"/>
      <c r="AA35" s="233" t="s">
        <v>113</v>
      </c>
      <c r="AB35" s="233"/>
      <c r="AC35" s="233"/>
      <c r="AD35" s="233"/>
      <c r="AE35" s="233"/>
      <c r="AF35" s="233"/>
      <c r="AG35" s="233"/>
      <c r="AH35" s="233"/>
      <c r="AI35" s="233"/>
      <c r="AJ35" s="233"/>
      <c r="AK35" s="233"/>
      <c r="AL35" s="233"/>
      <c r="AM35" s="233" t="s">
        <v>114</v>
      </c>
      <c r="AN35" s="233"/>
      <c r="AO35" s="233"/>
      <c r="AP35" s="233"/>
      <c r="AQ35" s="233"/>
      <c r="AR35" s="233"/>
      <c r="AS35" s="233"/>
      <c r="AT35" s="233"/>
      <c r="AU35" s="233"/>
      <c r="AV35" s="233"/>
      <c r="AW35" s="233"/>
      <c r="AX35" s="233"/>
      <c r="AY35" s="233" t="s">
        <v>115</v>
      </c>
      <c r="AZ35" s="233"/>
      <c r="BA35" s="233"/>
      <c r="BB35" s="233"/>
      <c r="BC35" s="233"/>
      <c r="BD35" s="233"/>
      <c r="BE35" s="233"/>
      <c r="BF35" s="233"/>
      <c r="BG35" s="233"/>
      <c r="BH35" s="233"/>
      <c r="BI35" s="233"/>
      <c r="BJ35" s="233"/>
      <c r="BK35" s="233" t="s">
        <v>116</v>
      </c>
      <c r="BL35" s="233"/>
      <c r="BM35" s="233"/>
      <c r="BN35" s="233"/>
      <c r="BO35" s="233"/>
      <c r="BP35" s="233"/>
      <c r="BQ35" s="233"/>
      <c r="BR35" s="233"/>
      <c r="BS35" s="233"/>
      <c r="BT35" s="233"/>
      <c r="BU35" s="233"/>
      <c r="BV35" s="233"/>
    </row>
    <row r="36" spans="2:74" x14ac:dyDescent="0.2">
      <c r="B36" s="42" t="s">
        <v>112</v>
      </c>
      <c r="C36" s="168">
        <f>'Frais Readspeaker'!E3</f>
        <v>3.3904800000000006E-2</v>
      </c>
      <c r="D36" s="50">
        <v>0.3</v>
      </c>
      <c r="E36" s="168">
        <f>C36*1.3</f>
        <v>4.407624000000001E-2</v>
      </c>
      <c r="K36" s="246"/>
      <c r="L36" s="232"/>
      <c r="M36" s="232"/>
      <c r="N36" s="232"/>
      <c r="O36" s="6" t="s">
        <v>145</v>
      </c>
      <c r="P36" s="6" t="s">
        <v>146</v>
      </c>
      <c r="Q36" s="6" t="s">
        <v>147</v>
      </c>
      <c r="R36" s="6" t="s">
        <v>148</v>
      </c>
      <c r="S36" s="6" t="s">
        <v>149</v>
      </c>
      <c r="T36" s="6" t="s">
        <v>150</v>
      </c>
      <c r="U36" s="6" t="s">
        <v>151</v>
      </c>
      <c r="V36" s="6" t="s">
        <v>256</v>
      </c>
      <c r="W36" s="6" t="s">
        <v>153</v>
      </c>
      <c r="X36" s="6" t="s">
        <v>154</v>
      </c>
      <c r="Y36" s="6" t="s">
        <v>155</v>
      </c>
      <c r="Z36" s="6" t="s">
        <v>257</v>
      </c>
      <c r="AA36" s="6" t="s">
        <v>145</v>
      </c>
      <c r="AB36" s="6" t="s">
        <v>146</v>
      </c>
      <c r="AC36" s="6" t="s">
        <v>147</v>
      </c>
      <c r="AD36" s="6" t="s">
        <v>148</v>
      </c>
      <c r="AE36" s="6" t="s">
        <v>149</v>
      </c>
      <c r="AF36" s="6" t="s">
        <v>150</v>
      </c>
      <c r="AG36" s="6" t="s">
        <v>151</v>
      </c>
      <c r="AH36" s="6" t="s">
        <v>256</v>
      </c>
      <c r="AI36" s="6" t="s">
        <v>153</v>
      </c>
      <c r="AJ36" s="6" t="s">
        <v>154</v>
      </c>
      <c r="AK36" s="6" t="s">
        <v>155</v>
      </c>
      <c r="AL36" s="6" t="s">
        <v>257</v>
      </c>
      <c r="AM36" s="6" t="s">
        <v>145</v>
      </c>
      <c r="AN36" s="6" t="s">
        <v>146</v>
      </c>
      <c r="AO36" s="6" t="s">
        <v>147</v>
      </c>
      <c r="AP36" s="6" t="s">
        <v>148</v>
      </c>
      <c r="AQ36" s="6" t="s">
        <v>149</v>
      </c>
      <c r="AR36" s="6" t="s">
        <v>150</v>
      </c>
      <c r="AS36" s="6" t="s">
        <v>151</v>
      </c>
      <c r="AT36" s="6" t="s">
        <v>256</v>
      </c>
      <c r="AU36" s="6" t="s">
        <v>153</v>
      </c>
      <c r="AV36" s="6" t="s">
        <v>154</v>
      </c>
      <c r="AW36" s="6" t="s">
        <v>155</v>
      </c>
      <c r="AX36" s="6" t="s">
        <v>257</v>
      </c>
      <c r="AY36" s="6" t="s">
        <v>145</v>
      </c>
      <c r="AZ36" s="6" t="s">
        <v>146</v>
      </c>
      <c r="BA36" s="6" t="s">
        <v>147</v>
      </c>
      <c r="BB36" s="6" t="s">
        <v>148</v>
      </c>
      <c r="BC36" s="6" t="s">
        <v>149</v>
      </c>
      <c r="BD36" s="6" t="s">
        <v>150</v>
      </c>
      <c r="BE36" s="6" t="s">
        <v>151</v>
      </c>
      <c r="BF36" s="6" t="s">
        <v>256</v>
      </c>
      <c r="BG36" s="6" t="s">
        <v>153</v>
      </c>
      <c r="BH36" s="6" t="s">
        <v>154</v>
      </c>
      <c r="BI36" s="6" t="s">
        <v>155</v>
      </c>
      <c r="BJ36" s="6" t="s">
        <v>257</v>
      </c>
      <c r="BK36" s="6" t="s">
        <v>145</v>
      </c>
      <c r="BL36" s="6" t="s">
        <v>146</v>
      </c>
      <c r="BM36" s="6" t="s">
        <v>147</v>
      </c>
      <c r="BN36" s="6" t="s">
        <v>148</v>
      </c>
      <c r="BO36" s="6" t="s">
        <v>149</v>
      </c>
      <c r="BP36" s="6" t="s">
        <v>150</v>
      </c>
      <c r="BQ36" s="6" t="s">
        <v>151</v>
      </c>
      <c r="BR36" s="6" t="s">
        <v>256</v>
      </c>
      <c r="BS36" s="6" t="s">
        <v>153</v>
      </c>
      <c r="BT36" s="6" t="s">
        <v>154</v>
      </c>
      <c r="BU36" s="6" t="s">
        <v>155</v>
      </c>
      <c r="BV36" s="6" t="s">
        <v>257</v>
      </c>
    </row>
    <row r="37" spans="2:74" x14ac:dyDescent="0.2">
      <c r="B37" s="169" t="s">
        <v>113</v>
      </c>
      <c r="C37" s="168">
        <f>'Frais Readspeaker'!E4</f>
        <v>2.9714400000000002E-2</v>
      </c>
      <c r="D37" s="50">
        <v>0.3</v>
      </c>
      <c r="E37" s="168">
        <f>C37*1.3</f>
        <v>3.8628720000000005E-2</v>
      </c>
      <c r="K37" s="131" t="s">
        <v>259</v>
      </c>
      <c r="L37" s="131">
        <f t="shared" ref="L37:N39" si="20">L29</f>
        <v>500</v>
      </c>
      <c r="M37" s="131">
        <f t="shared" si="20"/>
        <v>4000</v>
      </c>
      <c r="N37" s="131">
        <f t="shared" si="20"/>
        <v>120000</v>
      </c>
      <c r="O37" s="11">
        <f t="shared" ref="O37:Z37" si="21">O29*$O$33*$E$36</f>
        <v>1586.7446400000003</v>
      </c>
      <c r="P37" s="11">
        <f t="shared" si="21"/>
        <v>3173.4892800000007</v>
      </c>
      <c r="Q37" s="11">
        <f t="shared" si="21"/>
        <v>4760.2339200000006</v>
      </c>
      <c r="R37" s="11">
        <f t="shared" si="21"/>
        <v>7933.7232000000013</v>
      </c>
      <c r="S37" s="11">
        <f t="shared" si="21"/>
        <v>11107.212480000002</v>
      </c>
      <c r="T37" s="11">
        <f t="shared" si="21"/>
        <v>13487.329440000003</v>
      </c>
      <c r="U37" s="11">
        <f t="shared" si="21"/>
        <v>15867.446400000003</v>
      </c>
      <c r="V37" s="11">
        <f t="shared" si="21"/>
        <v>15867.446400000003</v>
      </c>
      <c r="W37" s="11">
        <f t="shared" si="21"/>
        <v>15867.446400000003</v>
      </c>
      <c r="X37" s="11">
        <f t="shared" si="21"/>
        <v>15867.446400000003</v>
      </c>
      <c r="Y37" s="11">
        <f t="shared" si="21"/>
        <v>15867.446400000003</v>
      </c>
      <c r="Z37" s="11">
        <f t="shared" si="21"/>
        <v>15867.446400000003</v>
      </c>
      <c r="AA37" s="11">
        <f t="shared" ref="AA37:AL37" si="22">AA29*$O$33*$E$37</f>
        <v>15992.290080000002</v>
      </c>
      <c r="AB37" s="11">
        <f t="shared" si="22"/>
        <v>15992.290080000002</v>
      </c>
      <c r="AC37" s="11">
        <f t="shared" si="22"/>
        <v>15992.290080000002</v>
      </c>
      <c r="AD37" s="11">
        <f t="shared" si="22"/>
        <v>15992.290080000002</v>
      </c>
      <c r="AE37" s="11">
        <f t="shared" si="22"/>
        <v>15992.290080000002</v>
      </c>
      <c r="AF37" s="11">
        <f t="shared" si="22"/>
        <v>15992.290080000002</v>
      </c>
      <c r="AG37" s="11">
        <f t="shared" si="22"/>
        <v>15992.290080000002</v>
      </c>
      <c r="AH37" s="11">
        <f t="shared" si="22"/>
        <v>15992.290080000002</v>
      </c>
      <c r="AI37" s="11">
        <f t="shared" si="22"/>
        <v>15992.290080000002</v>
      </c>
      <c r="AJ37" s="11">
        <f t="shared" si="22"/>
        <v>15992.290080000002</v>
      </c>
      <c r="AK37" s="11">
        <f t="shared" si="22"/>
        <v>15992.290080000002</v>
      </c>
      <c r="AL37" s="11">
        <f t="shared" si="22"/>
        <v>15992.290080000002</v>
      </c>
      <c r="AM37" s="11">
        <f t="shared" ref="AM37:AX37" si="23">AM29*$O$33*$E$38</f>
        <v>17224.04736</v>
      </c>
      <c r="AN37" s="11">
        <f t="shared" si="23"/>
        <v>17224.04736</v>
      </c>
      <c r="AO37" s="11">
        <f t="shared" si="23"/>
        <v>17224.04736</v>
      </c>
      <c r="AP37" s="11">
        <f t="shared" si="23"/>
        <v>17224.04736</v>
      </c>
      <c r="AQ37" s="11">
        <f t="shared" si="23"/>
        <v>17224.04736</v>
      </c>
      <c r="AR37" s="11">
        <f t="shared" si="23"/>
        <v>17224.04736</v>
      </c>
      <c r="AS37" s="11">
        <f t="shared" si="23"/>
        <v>17224.04736</v>
      </c>
      <c r="AT37" s="11">
        <f t="shared" si="23"/>
        <v>17224.04736</v>
      </c>
      <c r="AU37" s="11">
        <f t="shared" si="23"/>
        <v>17224.04736</v>
      </c>
      <c r="AV37" s="11">
        <f t="shared" si="23"/>
        <v>17224.04736</v>
      </c>
      <c r="AW37" s="11">
        <f t="shared" si="23"/>
        <v>17224.04736</v>
      </c>
      <c r="AX37" s="11">
        <f t="shared" si="23"/>
        <v>17224.04736</v>
      </c>
      <c r="AY37" s="11">
        <f t="shared" ref="AY37:BJ37" si="24">AY29*$O$33*$E$39</f>
        <v>18263.568960000004</v>
      </c>
      <c r="AZ37" s="11">
        <f t="shared" si="24"/>
        <v>18263.568960000004</v>
      </c>
      <c r="BA37" s="11">
        <f t="shared" si="24"/>
        <v>18263.568960000004</v>
      </c>
      <c r="BB37" s="11">
        <f t="shared" si="24"/>
        <v>18263.568960000004</v>
      </c>
      <c r="BC37" s="11">
        <f t="shared" si="24"/>
        <v>18263.568960000004</v>
      </c>
      <c r="BD37" s="11">
        <f t="shared" si="24"/>
        <v>18263.568960000004</v>
      </c>
      <c r="BE37" s="11">
        <f t="shared" si="24"/>
        <v>18263.568960000004</v>
      </c>
      <c r="BF37" s="11">
        <f t="shared" si="24"/>
        <v>18263.568960000004</v>
      </c>
      <c r="BG37" s="11">
        <f t="shared" si="24"/>
        <v>18263.568960000004</v>
      </c>
      <c r="BH37" s="11">
        <f t="shared" si="24"/>
        <v>18263.568960000004</v>
      </c>
      <c r="BI37" s="11">
        <f t="shared" si="24"/>
        <v>18263.568960000004</v>
      </c>
      <c r="BJ37" s="11">
        <f t="shared" si="24"/>
        <v>18263.568960000004</v>
      </c>
      <c r="BK37" s="11">
        <f t="shared" ref="BK37:BV37" si="25">BK29*$O$33*$E$40</f>
        <v>19106.97984</v>
      </c>
      <c r="BL37" s="11">
        <f t="shared" si="25"/>
        <v>19106.97984</v>
      </c>
      <c r="BM37" s="11">
        <f t="shared" si="25"/>
        <v>19106.97984</v>
      </c>
      <c r="BN37" s="11">
        <f t="shared" si="25"/>
        <v>19106.97984</v>
      </c>
      <c r="BO37" s="11">
        <f t="shared" si="25"/>
        <v>19106.97984</v>
      </c>
      <c r="BP37" s="11">
        <f t="shared" si="25"/>
        <v>19106.97984</v>
      </c>
      <c r="BQ37" s="11">
        <f t="shared" si="25"/>
        <v>19106.97984</v>
      </c>
      <c r="BR37" s="11">
        <f t="shared" si="25"/>
        <v>19106.97984</v>
      </c>
      <c r="BS37" s="11">
        <f t="shared" si="25"/>
        <v>19106.97984</v>
      </c>
      <c r="BT37" s="11">
        <f t="shared" si="25"/>
        <v>19106.97984</v>
      </c>
      <c r="BU37" s="11">
        <f t="shared" si="25"/>
        <v>19106.97984</v>
      </c>
      <c r="BV37" s="11">
        <f t="shared" si="25"/>
        <v>19106.97984</v>
      </c>
    </row>
    <row r="38" spans="2:74" x14ac:dyDescent="0.2">
      <c r="B38" s="169" t="s">
        <v>114</v>
      </c>
      <c r="C38" s="168">
        <f>'Frais Readspeaker'!E5</f>
        <v>2.8310399999999999E-2</v>
      </c>
      <c r="D38" s="50">
        <v>0.3</v>
      </c>
      <c r="E38" s="170">
        <f>C38*1.3</f>
        <v>3.6803519999999999E-2</v>
      </c>
      <c r="K38" s="131" t="s">
        <v>260</v>
      </c>
      <c r="L38" s="131">
        <f t="shared" si="20"/>
        <v>350</v>
      </c>
      <c r="M38" s="131">
        <f t="shared" si="20"/>
        <v>2800</v>
      </c>
      <c r="N38" s="131">
        <f t="shared" si="20"/>
        <v>84000</v>
      </c>
      <c r="O38" s="11">
        <f t="shared" ref="O38:Z38" si="26">O30*$O$33*$E$36</f>
        <v>1110.7212480000003</v>
      </c>
      <c r="P38" s="11">
        <f t="shared" si="26"/>
        <v>2221.4424960000006</v>
      </c>
      <c r="Q38" s="11">
        <f t="shared" si="26"/>
        <v>3332.1637440000009</v>
      </c>
      <c r="R38" s="11">
        <f t="shared" si="26"/>
        <v>5553.606240000001</v>
      </c>
      <c r="S38" s="11">
        <f t="shared" si="26"/>
        <v>7775.0487360000006</v>
      </c>
      <c r="T38" s="11">
        <f t="shared" si="26"/>
        <v>9441.1306080000013</v>
      </c>
      <c r="U38" s="11">
        <f t="shared" si="26"/>
        <v>11107.212480000002</v>
      </c>
      <c r="V38" s="11">
        <f t="shared" si="26"/>
        <v>11107.212480000002</v>
      </c>
      <c r="W38" s="11">
        <f t="shared" si="26"/>
        <v>11107.212480000002</v>
      </c>
      <c r="X38" s="11">
        <f t="shared" si="26"/>
        <v>11107.212480000002</v>
      </c>
      <c r="Y38" s="11">
        <f t="shared" si="26"/>
        <v>11107.212480000002</v>
      </c>
      <c r="Z38" s="11">
        <f t="shared" si="26"/>
        <v>11107.212480000002</v>
      </c>
      <c r="AA38" s="11">
        <f t="shared" ref="AA38:AL38" si="27">AA30*$O$33*$E$37</f>
        <v>11194.603056</v>
      </c>
      <c r="AB38" s="11">
        <f t="shared" si="27"/>
        <v>11194.603056</v>
      </c>
      <c r="AC38" s="11">
        <f t="shared" si="27"/>
        <v>11194.603056</v>
      </c>
      <c r="AD38" s="11">
        <f t="shared" si="27"/>
        <v>11194.603056</v>
      </c>
      <c r="AE38" s="11">
        <f t="shared" si="27"/>
        <v>11194.603056</v>
      </c>
      <c r="AF38" s="11">
        <f t="shared" si="27"/>
        <v>11194.603056</v>
      </c>
      <c r="AG38" s="11">
        <f t="shared" si="27"/>
        <v>11194.603056</v>
      </c>
      <c r="AH38" s="11">
        <f t="shared" si="27"/>
        <v>11194.603056</v>
      </c>
      <c r="AI38" s="11">
        <f t="shared" si="27"/>
        <v>11194.603056</v>
      </c>
      <c r="AJ38" s="11">
        <f t="shared" si="27"/>
        <v>11194.603056</v>
      </c>
      <c r="AK38" s="11">
        <f t="shared" si="27"/>
        <v>11194.603056</v>
      </c>
      <c r="AL38" s="11">
        <f t="shared" si="27"/>
        <v>11194.603056</v>
      </c>
      <c r="AM38" s="11">
        <f t="shared" ref="AM38:AX38" si="28">AM30*$O$33*$E$38</f>
        <v>12056.833151999999</v>
      </c>
      <c r="AN38" s="11">
        <f t="shared" si="28"/>
        <v>12056.833151999999</v>
      </c>
      <c r="AO38" s="11">
        <f t="shared" si="28"/>
        <v>12056.833151999999</v>
      </c>
      <c r="AP38" s="11">
        <f t="shared" si="28"/>
        <v>12056.833151999999</v>
      </c>
      <c r="AQ38" s="11">
        <f t="shared" si="28"/>
        <v>12056.833151999999</v>
      </c>
      <c r="AR38" s="11">
        <f t="shared" si="28"/>
        <v>12056.833151999999</v>
      </c>
      <c r="AS38" s="11">
        <f t="shared" si="28"/>
        <v>12056.833151999999</v>
      </c>
      <c r="AT38" s="11">
        <f t="shared" si="28"/>
        <v>12056.833151999999</v>
      </c>
      <c r="AU38" s="11">
        <f t="shared" si="28"/>
        <v>12056.833151999999</v>
      </c>
      <c r="AV38" s="11">
        <f t="shared" si="28"/>
        <v>12056.833151999999</v>
      </c>
      <c r="AW38" s="11">
        <f t="shared" si="28"/>
        <v>12056.833151999999</v>
      </c>
      <c r="AX38" s="11">
        <f t="shared" si="28"/>
        <v>12056.833151999999</v>
      </c>
      <c r="AY38" s="11">
        <f t="shared" ref="AY38:BJ38" si="29">AY30*$O$33*$E$39</f>
        <v>12784.498272000003</v>
      </c>
      <c r="AZ38" s="11">
        <f t="shared" si="29"/>
        <v>12784.498272000003</v>
      </c>
      <c r="BA38" s="11">
        <f t="shared" si="29"/>
        <v>12784.498272000003</v>
      </c>
      <c r="BB38" s="11">
        <f t="shared" si="29"/>
        <v>12784.498272000003</v>
      </c>
      <c r="BC38" s="11">
        <f t="shared" si="29"/>
        <v>12784.498272000003</v>
      </c>
      <c r="BD38" s="11">
        <f t="shared" si="29"/>
        <v>12784.498272000003</v>
      </c>
      <c r="BE38" s="11">
        <f t="shared" si="29"/>
        <v>12784.498272000003</v>
      </c>
      <c r="BF38" s="11">
        <f t="shared" si="29"/>
        <v>12784.498272000003</v>
      </c>
      <c r="BG38" s="11">
        <f t="shared" si="29"/>
        <v>12784.498272000003</v>
      </c>
      <c r="BH38" s="11">
        <f t="shared" si="29"/>
        <v>12784.498272000003</v>
      </c>
      <c r="BI38" s="11">
        <f t="shared" si="29"/>
        <v>12784.498272000003</v>
      </c>
      <c r="BJ38" s="11">
        <f t="shared" si="29"/>
        <v>12784.498272000003</v>
      </c>
      <c r="BK38" s="11">
        <f t="shared" ref="BK38:BV38" si="30">BK30*$O$33*$E$40</f>
        <v>13374.885888000001</v>
      </c>
      <c r="BL38" s="11">
        <f t="shared" si="30"/>
        <v>13374.885888000001</v>
      </c>
      <c r="BM38" s="11">
        <f t="shared" si="30"/>
        <v>13374.885888000001</v>
      </c>
      <c r="BN38" s="11">
        <f t="shared" si="30"/>
        <v>13374.885888000001</v>
      </c>
      <c r="BO38" s="11">
        <f t="shared" si="30"/>
        <v>13374.885888000001</v>
      </c>
      <c r="BP38" s="11">
        <f t="shared" si="30"/>
        <v>13374.885888000001</v>
      </c>
      <c r="BQ38" s="11">
        <f t="shared" si="30"/>
        <v>13374.885888000001</v>
      </c>
      <c r="BR38" s="11">
        <f t="shared" si="30"/>
        <v>13374.885888000001</v>
      </c>
      <c r="BS38" s="11">
        <f t="shared" si="30"/>
        <v>13374.885888000001</v>
      </c>
      <c r="BT38" s="11">
        <f t="shared" si="30"/>
        <v>13374.885888000001</v>
      </c>
      <c r="BU38" s="11">
        <f t="shared" si="30"/>
        <v>13374.885888000001</v>
      </c>
      <c r="BV38" s="11">
        <f t="shared" si="30"/>
        <v>13374.885888000001</v>
      </c>
    </row>
    <row r="39" spans="2:74" x14ac:dyDescent="0.2">
      <c r="B39" s="169" t="s">
        <v>115</v>
      </c>
      <c r="C39" s="168">
        <f>'Frais Readspeaker'!E6</f>
        <v>2.6913600000000003E-2</v>
      </c>
      <c r="D39" s="50">
        <v>0.3</v>
      </c>
      <c r="E39" s="170">
        <f>C39*1.3</f>
        <v>3.4987680000000007E-2</v>
      </c>
      <c r="K39" s="131" t="s">
        <v>261</v>
      </c>
      <c r="L39" s="131">
        <f t="shared" si="20"/>
        <v>125</v>
      </c>
      <c r="M39" s="131">
        <f t="shared" si="20"/>
        <v>1000</v>
      </c>
      <c r="N39" s="131">
        <f t="shared" si="20"/>
        <v>30000</v>
      </c>
      <c r="O39" s="11">
        <f t="shared" ref="O39:Z39" si="31">O31*$O$33*$E$36</f>
        <v>396.68616000000009</v>
      </c>
      <c r="P39" s="11">
        <f t="shared" si="31"/>
        <v>793.37232000000017</v>
      </c>
      <c r="Q39" s="11">
        <f t="shared" si="31"/>
        <v>1190.0584800000001</v>
      </c>
      <c r="R39" s="11">
        <f t="shared" si="31"/>
        <v>1983.4308000000003</v>
      </c>
      <c r="S39" s="11">
        <f t="shared" si="31"/>
        <v>2776.8031200000005</v>
      </c>
      <c r="T39" s="11">
        <f t="shared" si="31"/>
        <v>3371.8323600000008</v>
      </c>
      <c r="U39" s="11">
        <f t="shared" si="31"/>
        <v>3966.8616000000006</v>
      </c>
      <c r="V39" s="11">
        <f t="shared" si="31"/>
        <v>3966.8616000000006</v>
      </c>
      <c r="W39" s="11">
        <f t="shared" si="31"/>
        <v>3966.8616000000006</v>
      </c>
      <c r="X39" s="11">
        <f t="shared" si="31"/>
        <v>3966.8616000000006</v>
      </c>
      <c r="Y39" s="11">
        <f t="shared" si="31"/>
        <v>3966.8616000000006</v>
      </c>
      <c r="Z39" s="11">
        <f t="shared" si="31"/>
        <v>3966.8616000000006</v>
      </c>
      <c r="AA39" s="11">
        <f t="shared" ref="AA39:AL39" si="32">AA31*$O$33*$E$37</f>
        <v>3998.0725200000006</v>
      </c>
      <c r="AB39" s="11">
        <f t="shared" si="32"/>
        <v>3998.0725200000006</v>
      </c>
      <c r="AC39" s="11">
        <f t="shared" si="32"/>
        <v>3998.0725200000006</v>
      </c>
      <c r="AD39" s="11">
        <f t="shared" si="32"/>
        <v>3998.0725200000006</v>
      </c>
      <c r="AE39" s="11">
        <f t="shared" si="32"/>
        <v>3998.0725200000006</v>
      </c>
      <c r="AF39" s="11">
        <f t="shared" si="32"/>
        <v>3998.0725200000006</v>
      </c>
      <c r="AG39" s="11">
        <f t="shared" si="32"/>
        <v>3998.0725200000006</v>
      </c>
      <c r="AH39" s="11">
        <f t="shared" si="32"/>
        <v>3998.0725200000006</v>
      </c>
      <c r="AI39" s="11">
        <f t="shared" si="32"/>
        <v>3998.0725200000006</v>
      </c>
      <c r="AJ39" s="11">
        <f t="shared" si="32"/>
        <v>3998.0725200000006</v>
      </c>
      <c r="AK39" s="11">
        <f t="shared" si="32"/>
        <v>3998.0725200000006</v>
      </c>
      <c r="AL39" s="11">
        <f t="shared" si="32"/>
        <v>3998.0725200000006</v>
      </c>
      <c r="AM39" s="11">
        <f t="shared" ref="AM39:AX39" si="33">AM31*$O$33*$E$38</f>
        <v>4306.0118400000001</v>
      </c>
      <c r="AN39" s="11">
        <f t="shared" si="33"/>
        <v>4306.0118400000001</v>
      </c>
      <c r="AO39" s="11">
        <f t="shared" si="33"/>
        <v>4306.0118400000001</v>
      </c>
      <c r="AP39" s="11">
        <f t="shared" si="33"/>
        <v>4306.0118400000001</v>
      </c>
      <c r="AQ39" s="11">
        <f t="shared" si="33"/>
        <v>4306.0118400000001</v>
      </c>
      <c r="AR39" s="11">
        <f t="shared" si="33"/>
        <v>4306.0118400000001</v>
      </c>
      <c r="AS39" s="11">
        <f t="shared" si="33"/>
        <v>4306.0118400000001</v>
      </c>
      <c r="AT39" s="11">
        <f t="shared" si="33"/>
        <v>4306.0118400000001</v>
      </c>
      <c r="AU39" s="11">
        <f t="shared" si="33"/>
        <v>4306.0118400000001</v>
      </c>
      <c r="AV39" s="11">
        <f t="shared" si="33"/>
        <v>4306.0118400000001</v>
      </c>
      <c r="AW39" s="11">
        <f t="shared" si="33"/>
        <v>4306.0118400000001</v>
      </c>
      <c r="AX39" s="11">
        <f t="shared" si="33"/>
        <v>4306.0118400000001</v>
      </c>
      <c r="AY39" s="11">
        <f t="shared" ref="AY39:BJ39" si="34">AY31*$O$33*$E$39</f>
        <v>4565.892240000001</v>
      </c>
      <c r="AZ39" s="11">
        <f t="shared" si="34"/>
        <v>4565.892240000001</v>
      </c>
      <c r="BA39" s="11">
        <f t="shared" si="34"/>
        <v>4565.892240000001</v>
      </c>
      <c r="BB39" s="11">
        <f t="shared" si="34"/>
        <v>4565.892240000001</v>
      </c>
      <c r="BC39" s="11">
        <f t="shared" si="34"/>
        <v>4565.892240000001</v>
      </c>
      <c r="BD39" s="11">
        <f t="shared" si="34"/>
        <v>4565.892240000001</v>
      </c>
      <c r="BE39" s="11">
        <f t="shared" si="34"/>
        <v>4565.892240000001</v>
      </c>
      <c r="BF39" s="11">
        <f t="shared" si="34"/>
        <v>4565.892240000001</v>
      </c>
      <c r="BG39" s="11">
        <f t="shared" si="34"/>
        <v>4565.892240000001</v>
      </c>
      <c r="BH39" s="11">
        <f t="shared" si="34"/>
        <v>4565.892240000001</v>
      </c>
      <c r="BI39" s="11">
        <f t="shared" si="34"/>
        <v>4565.892240000001</v>
      </c>
      <c r="BJ39" s="11">
        <f t="shared" si="34"/>
        <v>4565.892240000001</v>
      </c>
      <c r="BK39" s="11">
        <f t="shared" ref="BK39:BV39" si="35">BK31*$O$33*$E$40</f>
        <v>4776.74496</v>
      </c>
      <c r="BL39" s="11">
        <f t="shared" si="35"/>
        <v>4776.74496</v>
      </c>
      <c r="BM39" s="11">
        <f t="shared" si="35"/>
        <v>4776.74496</v>
      </c>
      <c r="BN39" s="11">
        <f t="shared" si="35"/>
        <v>4776.74496</v>
      </c>
      <c r="BO39" s="11">
        <f t="shared" si="35"/>
        <v>4776.74496</v>
      </c>
      <c r="BP39" s="11">
        <f t="shared" si="35"/>
        <v>4776.74496</v>
      </c>
      <c r="BQ39" s="11">
        <f t="shared" si="35"/>
        <v>4776.74496</v>
      </c>
      <c r="BR39" s="11">
        <f t="shared" si="35"/>
        <v>4776.74496</v>
      </c>
      <c r="BS39" s="11">
        <f t="shared" si="35"/>
        <v>4776.74496</v>
      </c>
      <c r="BT39" s="11">
        <f t="shared" si="35"/>
        <v>4776.74496</v>
      </c>
      <c r="BU39" s="11">
        <f t="shared" si="35"/>
        <v>4776.74496</v>
      </c>
      <c r="BV39" s="11">
        <f t="shared" si="35"/>
        <v>4776.74496</v>
      </c>
    </row>
    <row r="40" spans="2:74" x14ac:dyDescent="0.2">
      <c r="B40" s="169" t="s">
        <v>116</v>
      </c>
      <c r="C40" s="168">
        <f>'Frais Readspeaker'!E7</f>
        <v>2.5516799999999999E-2</v>
      </c>
      <c r="D40" s="50">
        <v>0.3</v>
      </c>
      <c r="E40" s="170">
        <f>C40*1.3</f>
        <v>3.3171840000000001E-2</v>
      </c>
      <c r="K40" s="131"/>
      <c r="N40" s="131"/>
      <c r="O40" s="133">
        <f t="shared" ref="O40:AT40" si="36">SUM(O37:O39)</f>
        <v>3094.1520480000008</v>
      </c>
      <c r="P40" s="133">
        <f t="shared" si="36"/>
        <v>6188.3040960000017</v>
      </c>
      <c r="Q40" s="133">
        <f t="shared" si="36"/>
        <v>9282.4561440000016</v>
      </c>
      <c r="R40" s="133">
        <f t="shared" si="36"/>
        <v>15470.760240000001</v>
      </c>
      <c r="S40" s="133">
        <f t="shared" si="36"/>
        <v>21659.064336000003</v>
      </c>
      <c r="T40" s="133">
        <f t="shared" si="36"/>
        <v>26300.292408000005</v>
      </c>
      <c r="U40" s="133">
        <f t="shared" si="36"/>
        <v>30941.520480000003</v>
      </c>
      <c r="V40" s="133">
        <f t="shared" si="36"/>
        <v>30941.520480000003</v>
      </c>
      <c r="W40" s="133">
        <f t="shared" si="36"/>
        <v>30941.520480000003</v>
      </c>
      <c r="X40" s="133">
        <f t="shared" si="36"/>
        <v>30941.520480000003</v>
      </c>
      <c r="Y40" s="133">
        <f t="shared" si="36"/>
        <v>30941.520480000003</v>
      </c>
      <c r="Z40" s="133">
        <f t="shared" si="36"/>
        <v>30941.520480000003</v>
      </c>
      <c r="AA40" s="133">
        <f t="shared" si="36"/>
        <v>31184.965656000004</v>
      </c>
      <c r="AB40" s="133">
        <f t="shared" si="36"/>
        <v>31184.965656000004</v>
      </c>
      <c r="AC40" s="133">
        <f t="shared" si="36"/>
        <v>31184.965656000004</v>
      </c>
      <c r="AD40" s="133">
        <f t="shared" si="36"/>
        <v>31184.965656000004</v>
      </c>
      <c r="AE40" s="133">
        <f t="shared" si="36"/>
        <v>31184.965656000004</v>
      </c>
      <c r="AF40" s="133">
        <f t="shared" si="36"/>
        <v>31184.965656000004</v>
      </c>
      <c r="AG40" s="133">
        <f t="shared" si="36"/>
        <v>31184.965656000004</v>
      </c>
      <c r="AH40" s="133">
        <f t="shared" si="36"/>
        <v>31184.965656000004</v>
      </c>
      <c r="AI40" s="133">
        <f t="shared" si="36"/>
        <v>31184.965656000004</v>
      </c>
      <c r="AJ40" s="133">
        <f t="shared" si="36"/>
        <v>31184.965656000004</v>
      </c>
      <c r="AK40" s="133">
        <f t="shared" si="36"/>
        <v>31184.965656000004</v>
      </c>
      <c r="AL40" s="133">
        <f t="shared" si="36"/>
        <v>31184.965656000004</v>
      </c>
      <c r="AM40" s="133">
        <f t="shared" si="36"/>
        <v>33586.892352000003</v>
      </c>
      <c r="AN40" s="133">
        <f t="shared" si="36"/>
        <v>33586.892352000003</v>
      </c>
      <c r="AO40" s="133">
        <f t="shared" si="36"/>
        <v>33586.892352000003</v>
      </c>
      <c r="AP40" s="133">
        <f t="shared" si="36"/>
        <v>33586.892352000003</v>
      </c>
      <c r="AQ40" s="133">
        <f t="shared" si="36"/>
        <v>33586.892352000003</v>
      </c>
      <c r="AR40" s="133">
        <f t="shared" si="36"/>
        <v>33586.892352000003</v>
      </c>
      <c r="AS40" s="133">
        <f t="shared" si="36"/>
        <v>33586.892352000003</v>
      </c>
      <c r="AT40" s="133">
        <f t="shared" si="36"/>
        <v>33586.892352000003</v>
      </c>
      <c r="AU40" s="133">
        <f t="shared" ref="AU40:BV40" si="37">SUM(AU37:AU39)</f>
        <v>33586.892352000003</v>
      </c>
      <c r="AV40" s="133">
        <f t="shared" si="37"/>
        <v>33586.892352000003</v>
      </c>
      <c r="AW40" s="133">
        <f t="shared" si="37"/>
        <v>33586.892352000003</v>
      </c>
      <c r="AX40" s="133">
        <f t="shared" si="37"/>
        <v>33586.892352000003</v>
      </c>
      <c r="AY40" s="133">
        <f t="shared" si="37"/>
        <v>35613.95947200001</v>
      </c>
      <c r="AZ40" s="133">
        <f t="shared" si="37"/>
        <v>35613.95947200001</v>
      </c>
      <c r="BA40" s="133">
        <f t="shared" si="37"/>
        <v>35613.95947200001</v>
      </c>
      <c r="BB40" s="133">
        <f t="shared" si="37"/>
        <v>35613.95947200001</v>
      </c>
      <c r="BC40" s="133">
        <f t="shared" si="37"/>
        <v>35613.95947200001</v>
      </c>
      <c r="BD40" s="133">
        <f t="shared" si="37"/>
        <v>35613.95947200001</v>
      </c>
      <c r="BE40" s="133">
        <f t="shared" si="37"/>
        <v>35613.95947200001</v>
      </c>
      <c r="BF40" s="133">
        <f t="shared" si="37"/>
        <v>35613.95947200001</v>
      </c>
      <c r="BG40" s="133">
        <f t="shared" si="37"/>
        <v>35613.95947200001</v>
      </c>
      <c r="BH40" s="133">
        <f t="shared" si="37"/>
        <v>35613.95947200001</v>
      </c>
      <c r="BI40" s="133">
        <f t="shared" si="37"/>
        <v>35613.95947200001</v>
      </c>
      <c r="BJ40" s="133">
        <f t="shared" si="37"/>
        <v>35613.95947200001</v>
      </c>
      <c r="BK40" s="133">
        <f t="shared" si="37"/>
        <v>37258.610688000001</v>
      </c>
      <c r="BL40" s="133">
        <f t="shared" si="37"/>
        <v>37258.610688000001</v>
      </c>
      <c r="BM40" s="133">
        <f t="shared" si="37"/>
        <v>37258.610688000001</v>
      </c>
      <c r="BN40" s="133">
        <f t="shared" si="37"/>
        <v>37258.610688000001</v>
      </c>
      <c r="BO40" s="133">
        <f t="shared" si="37"/>
        <v>37258.610688000001</v>
      </c>
      <c r="BP40" s="133">
        <f t="shared" si="37"/>
        <v>37258.610688000001</v>
      </c>
      <c r="BQ40" s="133">
        <f t="shared" si="37"/>
        <v>37258.610688000001</v>
      </c>
      <c r="BR40" s="133">
        <f t="shared" si="37"/>
        <v>37258.610688000001</v>
      </c>
      <c r="BS40" s="133">
        <f t="shared" si="37"/>
        <v>37258.610688000001</v>
      </c>
      <c r="BT40" s="133">
        <f t="shared" si="37"/>
        <v>37258.610688000001</v>
      </c>
      <c r="BU40" s="133">
        <f t="shared" si="37"/>
        <v>37258.610688000001</v>
      </c>
      <c r="BV40" s="133">
        <f t="shared" si="37"/>
        <v>37258.610688000001</v>
      </c>
    </row>
    <row r="41" spans="2:74" x14ac:dyDescent="0.2">
      <c r="K41" s="236" t="s">
        <v>293</v>
      </c>
      <c r="L41" s="236"/>
      <c r="M41" s="132"/>
      <c r="N41" s="132"/>
      <c r="O41" s="171">
        <f>SUM(O40:Z40)</f>
        <v>267644.15215200005</v>
      </c>
      <c r="P41" s="166"/>
      <c r="Q41" s="166"/>
      <c r="R41" s="166"/>
      <c r="S41" s="166"/>
      <c r="T41" s="166"/>
      <c r="U41" s="166"/>
      <c r="V41" s="166"/>
      <c r="W41" s="166"/>
      <c r="X41" s="166"/>
      <c r="Y41" s="166"/>
      <c r="Z41" s="166"/>
      <c r="AA41" s="172">
        <f>SUM(AA40:AL40)</f>
        <v>374219.58787200012</v>
      </c>
      <c r="AB41" s="161"/>
      <c r="AC41" s="161"/>
      <c r="AD41" s="161"/>
      <c r="AE41" s="161"/>
      <c r="AF41" s="161"/>
      <c r="AG41" s="161"/>
      <c r="AH41" s="161"/>
      <c r="AI41" s="161"/>
      <c r="AJ41" s="161"/>
      <c r="AK41" s="161"/>
      <c r="AL41" s="161"/>
      <c r="AM41" s="173">
        <f>SUM(AM40:AX40)</f>
        <v>403042.708224</v>
      </c>
      <c r="AN41" s="163"/>
      <c r="AO41" s="163"/>
      <c r="AP41" s="163"/>
      <c r="AQ41" s="163"/>
      <c r="AR41" s="163"/>
      <c r="AS41" s="163"/>
      <c r="AT41" s="163"/>
      <c r="AU41" s="163"/>
      <c r="AV41" s="163"/>
      <c r="AW41" s="163"/>
      <c r="AX41" s="164"/>
      <c r="AY41" s="171">
        <f>SUM(AY40:BJ40)</f>
        <v>427367.51366400014</v>
      </c>
      <c r="AZ41" s="166"/>
      <c r="BA41" s="166"/>
      <c r="BB41" s="166"/>
      <c r="BC41" s="166"/>
      <c r="BD41" s="166"/>
      <c r="BE41" s="166"/>
      <c r="BF41" s="166"/>
      <c r="BG41" s="166"/>
      <c r="BH41" s="166"/>
      <c r="BI41" s="166"/>
      <c r="BJ41" s="166"/>
      <c r="BK41" s="172">
        <f>SUM(BK40:BV40)</f>
        <v>447103.32825599989</v>
      </c>
      <c r="BL41" s="161"/>
      <c r="BM41" s="161"/>
      <c r="BN41" s="161"/>
      <c r="BO41" s="161"/>
      <c r="BP41" s="161"/>
      <c r="BQ41" s="161"/>
      <c r="BR41" s="161"/>
      <c r="BS41" s="161"/>
      <c r="BT41" s="161"/>
      <c r="BU41" s="161"/>
      <c r="BV41" s="161"/>
    </row>
    <row r="42" spans="2:74" x14ac:dyDescent="0.2">
      <c r="K42" t="s">
        <v>294</v>
      </c>
    </row>
  </sheetData>
  <mergeCells count="38">
    <mergeCell ref="K1:AD1"/>
    <mergeCell ref="S2:U2"/>
    <mergeCell ref="O4:Z4"/>
    <mergeCell ref="AA4:AL4"/>
    <mergeCell ref="AM4:AX4"/>
    <mergeCell ref="AY4:BJ4"/>
    <mergeCell ref="BK4:BV4"/>
    <mergeCell ref="K14:K15"/>
    <mergeCell ref="L14:L15"/>
    <mergeCell ref="M14:M15"/>
    <mergeCell ref="N14:N15"/>
    <mergeCell ref="O14:Z14"/>
    <mergeCell ref="AA14:AL14"/>
    <mergeCell ref="AM14:AX14"/>
    <mergeCell ref="AY14:BJ14"/>
    <mergeCell ref="BK14:BV14"/>
    <mergeCell ref="K19:L19"/>
    <mergeCell ref="K24:AD24"/>
    <mergeCell ref="K26:K27"/>
    <mergeCell ref="L26:L27"/>
    <mergeCell ref="M26:M27"/>
    <mergeCell ref="N26:N27"/>
    <mergeCell ref="O26:Z26"/>
    <mergeCell ref="AA26:AL26"/>
    <mergeCell ref="K41:L41"/>
    <mergeCell ref="AM26:AX26"/>
    <mergeCell ref="AY26:BJ26"/>
    <mergeCell ref="BK26:BV26"/>
    <mergeCell ref="K32:L32"/>
    <mergeCell ref="K35:K36"/>
    <mergeCell ref="L35:L36"/>
    <mergeCell ref="M35:M36"/>
    <mergeCell ref="N35:N36"/>
    <mergeCell ref="O35:Z35"/>
    <mergeCell ref="AA35:AL35"/>
    <mergeCell ref="AM35:AX35"/>
    <mergeCell ref="AY35:BJ35"/>
    <mergeCell ref="BK35:BV35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5"/>
  <sheetViews>
    <sheetView zoomScaleNormal="100" workbookViewId="0"/>
  </sheetViews>
  <sheetFormatPr baseColWidth="10" defaultColWidth="8.83203125" defaultRowHeight="15" x14ac:dyDescent="0.2"/>
  <cols>
    <col min="1" max="4" width="9.1640625" customWidth="1"/>
    <col min="5" max="5" width="8.6640625" customWidth="1"/>
    <col min="6" max="9" width="10.6640625" customWidth="1"/>
    <col min="10" max="1025" width="9.1640625" customWidth="1"/>
  </cols>
  <sheetData>
    <row r="1" spans="1:9" s="16" customFormat="1" ht="64" x14ac:dyDescent="0.2">
      <c r="A1" s="14"/>
      <c r="B1" s="14" t="s">
        <v>300</v>
      </c>
      <c r="C1" s="14" t="s">
        <v>266</v>
      </c>
      <c r="D1" s="14" t="s">
        <v>267</v>
      </c>
      <c r="E1" s="14" t="s">
        <v>112</v>
      </c>
      <c r="F1" s="14" t="s">
        <v>113</v>
      </c>
      <c r="G1" s="14" t="s">
        <v>114</v>
      </c>
      <c r="H1" s="14" t="s">
        <v>115</v>
      </c>
      <c r="I1" s="14" t="s">
        <v>116</v>
      </c>
    </row>
    <row r="2" spans="1:9" x14ac:dyDescent="0.2">
      <c r="A2" s="131" t="s">
        <v>287</v>
      </c>
      <c r="B2" s="6">
        <v>500</v>
      </c>
      <c r="C2" s="6">
        <v>4000</v>
      </c>
      <c r="D2" s="6">
        <v>120000</v>
      </c>
      <c r="E2" s="11">
        <v>137253</v>
      </c>
      <c r="F2" s="11">
        <v>191907</v>
      </c>
      <c r="G2" s="11">
        <v>206689</v>
      </c>
      <c r="H2" s="11">
        <v>219163</v>
      </c>
      <c r="I2" s="11">
        <v>229284</v>
      </c>
    </row>
    <row r="3" spans="1:9" x14ac:dyDescent="0.2">
      <c r="A3" s="131" t="s">
        <v>289</v>
      </c>
      <c r="B3" s="6">
        <v>350</v>
      </c>
      <c r="C3" s="6">
        <v>2800</v>
      </c>
      <c r="D3" s="6">
        <v>84000</v>
      </c>
      <c r="E3" s="11">
        <v>96077</v>
      </c>
      <c r="F3" s="11">
        <v>134335</v>
      </c>
      <c r="G3" s="11">
        <v>144682</v>
      </c>
      <c r="H3" s="11">
        <v>153414</v>
      </c>
      <c r="I3" s="11">
        <v>160499</v>
      </c>
    </row>
    <row r="4" spans="1:9" x14ac:dyDescent="0.2">
      <c r="A4" s="131" t="s">
        <v>290</v>
      </c>
      <c r="B4" s="6">
        <v>125</v>
      </c>
      <c r="C4" s="6">
        <v>1000</v>
      </c>
      <c r="D4" s="6">
        <v>30000</v>
      </c>
      <c r="E4" s="11">
        <v>34313</v>
      </c>
      <c r="F4" s="11">
        <v>47977</v>
      </c>
      <c r="G4" s="11">
        <v>51672</v>
      </c>
      <c r="H4" s="11">
        <v>54791</v>
      </c>
      <c r="I4" s="11">
        <v>57321</v>
      </c>
    </row>
    <row r="5" spans="1:9" x14ac:dyDescent="0.2">
      <c r="A5" s="224" t="s">
        <v>293</v>
      </c>
      <c r="B5" s="224"/>
      <c r="C5" s="224"/>
      <c r="D5" s="224"/>
      <c r="E5" s="11">
        <f>SUM(E2:E4)</f>
        <v>267643</v>
      </c>
      <c r="F5" s="11">
        <f>SUM(F2:F4)</f>
        <v>374219</v>
      </c>
      <c r="G5" s="11">
        <f>SUM(G2:G4)</f>
        <v>403043</v>
      </c>
      <c r="H5" s="11">
        <f>SUM(H2:H4)</f>
        <v>427368</v>
      </c>
      <c r="I5" s="11">
        <f>SUM(I2:I4)</f>
        <v>447104</v>
      </c>
    </row>
  </sheetData>
  <mergeCells count="1">
    <mergeCell ref="A5:D5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6"/>
  <sheetViews>
    <sheetView zoomScaleNormal="100" workbookViewId="0"/>
  </sheetViews>
  <sheetFormatPr baseColWidth="10" defaultColWidth="8.83203125" defaultRowHeight="15" x14ac:dyDescent="0.2"/>
  <cols>
    <col min="1" max="1" width="18.6640625" customWidth="1"/>
    <col min="2" max="2" width="17.33203125" customWidth="1"/>
    <col min="3" max="3" width="15.33203125" customWidth="1"/>
    <col min="4" max="4" width="16.5" customWidth="1"/>
    <col min="5" max="5" width="12.33203125" customWidth="1"/>
    <col min="6" max="6" width="12" customWidth="1"/>
    <col min="7" max="7" width="12.5" customWidth="1"/>
    <col min="8" max="8" width="13.33203125" customWidth="1"/>
    <col min="9" max="9" width="10.6640625" customWidth="1"/>
    <col min="10" max="1025" width="9.1640625" customWidth="1"/>
  </cols>
  <sheetData>
    <row r="1" spans="1:9" s="174" customFormat="1" ht="32" x14ac:dyDescent="0.2">
      <c r="A1" s="14" t="s">
        <v>292</v>
      </c>
      <c r="B1" s="14" t="s">
        <v>279</v>
      </c>
      <c r="C1" s="14" t="s">
        <v>280</v>
      </c>
      <c r="D1" s="14" t="s">
        <v>281</v>
      </c>
      <c r="E1" s="6" t="s">
        <v>112</v>
      </c>
      <c r="F1" s="6" t="s">
        <v>113</v>
      </c>
      <c r="G1" s="6" t="s">
        <v>114</v>
      </c>
      <c r="H1" s="6" t="s">
        <v>115</v>
      </c>
      <c r="I1" s="6" t="s">
        <v>116</v>
      </c>
    </row>
    <row r="2" spans="1:9" x14ac:dyDescent="0.2">
      <c r="A2" s="6" t="s">
        <v>287</v>
      </c>
      <c r="B2" s="6">
        <v>500</v>
      </c>
      <c r="C2" s="6">
        <v>4000</v>
      </c>
      <c r="D2" s="6">
        <v>120000</v>
      </c>
      <c r="E2" s="11">
        <v>337350</v>
      </c>
      <c r="F2" s="11">
        <v>538200</v>
      </c>
      <c r="G2" s="11">
        <v>608400</v>
      </c>
      <c r="H2" s="11">
        <v>678600</v>
      </c>
      <c r="I2" s="11">
        <v>748800</v>
      </c>
    </row>
    <row r="3" spans="1:9" x14ac:dyDescent="0.2">
      <c r="A3" s="6" t="s">
        <v>289</v>
      </c>
      <c r="B3" s="6">
        <v>350</v>
      </c>
      <c r="C3" s="6">
        <v>2800</v>
      </c>
      <c r="D3" s="6">
        <v>84000</v>
      </c>
      <c r="E3" s="11">
        <v>236145</v>
      </c>
      <c r="F3" s="11">
        <v>376740</v>
      </c>
      <c r="G3" s="11">
        <v>425880</v>
      </c>
      <c r="H3" s="11">
        <v>475020</v>
      </c>
      <c r="I3" s="11">
        <v>524160</v>
      </c>
    </row>
    <row r="4" spans="1:9" x14ac:dyDescent="0.2">
      <c r="A4" s="6" t="s">
        <v>290</v>
      </c>
      <c r="B4" s="6">
        <v>100</v>
      </c>
      <c r="C4" s="6">
        <v>800</v>
      </c>
      <c r="D4" s="6">
        <v>24000</v>
      </c>
      <c r="E4" s="11">
        <v>67080</v>
      </c>
      <c r="F4" s="11">
        <v>107640</v>
      </c>
      <c r="G4" s="11">
        <v>121680</v>
      </c>
      <c r="H4" s="11">
        <v>135720</v>
      </c>
      <c r="I4" s="11">
        <v>149760</v>
      </c>
    </row>
    <row r="5" spans="1:9" x14ac:dyDescent="0.2">
      <c r="A5" s="224" t="s">
        <v>293</v>
      </c>
      <c r="B5" s="224"/>
      <c r="C5" s="224"/>
      <c r="D5" s="224"/>
      <c r="E5" s="11">
        <v>640575</v>
      </c>
      <c r="F5" s="11">
        <f>SUM(F2:F4)</f>
        <v>1022580</v>
      </c>
      <c r="G5" s="11">
        <f>SUM(G2:G4)</f>
        <v>1155960</v>
      </c>
      <c r="H5" s="11">
        <f>SUM(H2:H4)</f>
        <v>1289340</v>
      </c>
      <c r="I5" s="11">
        <f>SUM(I2:I4)</f>
        <v>1422720</v>
      </c>
    </row>
    <row r="6" spans="1:9" x14ac:dyDescent="0.2">
      <c r="A6" t="s">
        <v>294</v>
      </c>
      <c r="E6" s="19"/>
      <c r="F6" s="19"/>
      <c r="G6" s="19"/>
      <c r="H6" s="19"/>
    </row>
  </sheetData>
  <mergeCells count="1">
    <mergeCell ref="A5:D5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BQ30"/>
  <sheetViews>
    <sheetView topLeftCell="AY1" zoomScaleNormal="100" workbookViewId="0">
      <selection activeCell="G9" sqref="G9:X9"/>
    </sheetView>
  </sheetViews>
  <sheetFormatPr baseColWidth="10" defaultColWidth="8.83203125" defaultRowHeight="15" x14ac:dyDescent="0.2"/>
  <cols>
    <col min="1" max="1" width="19.5" style="1" customWidth="1"/>
    <col min="2" max="2" width="9.1640625" style="1" customWidth="1"/>
    <col min="3" max="3" width="17.5" style="1" customWidth="1"/>
    <col min="4" max="4" width="9.1640625" customWidth="1"/>
    <col min="5" max="5" width="12.6640625" customWidth="1"/>
    <col min="6" max="6" width="9.1640625" customWidth="1"/>
    <col min="7" max="7" width="10.83203125" customWidth="1"/>
    <col min="8" max="8" width="12.33203125" style="35" customWidth="1"/>
    <col min="9" max="16" width="9.1640625" customWidth="1"/>
    <col min="17" max="17" width="10.83203125" customWidth="1"/>
    <col min="18" max="1025" width="9.1640625" customWidth="1"/>
  </cols>
  <sheetData>
    <row r="2" spans="1:69" x14ac:dyDescent="0.2">
      <c r="G2" s="240" t="s">
        <v>301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</row>
    <row r="4" spans="1:69" ht="15" customHeight="1" x14ac:dyDescent="0.2">
      <c r="G4" s="241"/>
      <c r="H4" s="232" t="s">
        <v>302</v>
      </c>
      <c r="I4" s="233" t="s">
        <v>112</v>
      </c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 t="s">
        <v>113</v>
      </c>
      <c r="V4" s="233"/>
      <c r="W4" s="233"/>
      <c r="X4" s="233"/>
      <c r="Y4" s="233"/>
      <c r="Z4" s="233"/>
      <c r="AA4" s="233"/>
      <c r="AB4" s="233"/>
      <c r="AC4" s="233"/>
      <c r="AD4" s="233"/>
      <c r="AE4" s="233"/>
      <c r="AF4" s="233"/>
      <c r="AG4" s="233" t="s">
        <v>114</v>
      </c>
      <c r="AH4" s="233"/>
      <c r="AI4" s="233"/>
      <c r="AJ4" s="233"/>
      <c r="AK4" s="233"/>
      <c r="AL4" s="233"/>
      <c r="AM4" s="233"/>
      <c r="AN4" s="233"/>
      <c r="AO4" s="233"/>
      <c r="AP4" s="233"/>
      <c r="AQ4" s="233"/>
      <c r="AR4" s="233"/>
      <c r="AS4" s="233" t="s">
        <v>115</v>
      </c>
      <c r="AT4" s="233"/>
      <c r="AU4" s="233"/>
      <c r="AV4" s="233"/>
      <c r="AW4" s="233"/>
      <c r="AX4" s="233"/>
      <c r="AY4" s="233"/>
      <c r="AZ4" s="233"/>
      <c r="BA4" s="233"/>
      <c r="BB4" s="233"/>
      <c r="BC4" s="233"/>
      <c r="BD4" s="233"/>
      <c r="BE4" s="233" t="s">
        <v>116</v>
      </c>
      <c r="BF4" s="233"/>
      <c r="BG4" s="233"/>
      <c r="BH4" s="233"/>
      <c r="BI4" s="233"/>
      <c r="BJ4" s="233"/>
      <c r="BK4" s="233"/>
      <c r="BL4" s="233"/>
      <c r="BM4" s="233"/>
      <c r="BN4" s="233"/>
      <c r="BO4" s="233"/>
      <c r="BP4" s="233"/>
    </row>
    <row r="5" spans="1:69" x14ac:dyDescent="0.2">
      <c r="G5" s="241"/>
      <c r="H5" s="232"/>
      <c r="I5" s="6" t="s">
        <v>145</v>
      </c>
      <c r="J5" s="6" t="s">
        <v>146</v>
      </c>
      <c r="K5" s="6" t="s">
        <v>147</v>
      </c>
      <c r="L5" s="6" t="s">
        <v>148</v>
      </c>
      <c r="M5" s="6" t="s">
        <v>149</v>
      </c>
      <c r="N5" s="6" t="s">
        <v>150</v>
      </c>
      <c r="O5" s="6" t="s">
        <v>151</v>
      </c>
      <c r="P5" s="6" t="s">
        <v>256</v>
      </c>
      <c r="Q5" s="6" t="s">
        <v>153</v>
      </c>
      <c r="R5" s="6" t="s">
        <v>154</v>
      </c>
      <c r="S5" s="6" t="s">
        <v>155</v>
      </c>
      <c r="T5" s="6" t="s">
        <v>257</v>
      </c>
      <c r="U5" s="6" t="s">
        <v>145</v>
      </c>
      <c r="V5" s="6" t="s">
        <v>146</v>
      </c>
      <c r="W5" s="6" t="s">
        <v>147</v>
      </c>
      <c r="X5" s="6" t="s">
        <v>148</v>
      </c>
      <c r="Y5" s="6" t="s">
        <v>149</v>
      </c>
      <c r="Z5" s="6" t="s">
        <v>150</v>
      </c>
      <c r="AA5" s="6" t="s">
        <v>151</v>
      </c>
      <c r="AB5" s="6" t="s">
        <v>256</v>
      </c>
      <c r="AC5" s="6" t="s">
        <v>153</v>
      </c>
      <c r="AD5" s="6" t="s">
        <v>154</v>
      </c>
      <c r="AE5" s="6" t="s">
        <v>155</v>
      </c>
      <c r="AF5" s="6" t="s">
        <v>257</v>
      </c>
      <c r="AG5" s="6" t="s">
        <v>145</v>
      </c>
      <c r="AH5" s="6" t="s">
        <v>146</v>
      </c>
      <c r="AI5" s="6" t="s">
        <v>147</v>
      </c>
      <c r="AJ5" s="6" t="s">
        <v>148</v>
      </c>
      <c r="AK5" s="6" t="s">
        <v>149</v>
      </c>
      <c r="AL5" s="6" t="s">
        <v>150</v>
      </c>
      <c r="AM5" s="6" t="s">
        <v>151</v>
      </c>
      <c r="AN5" s="6" t="s">
        <v>256</v>
      </c>
      <c r="AO5" s="6" t="s">
        <v>153</v>
      </c>
      <c r="AP5" s="6" t="s">
        <v>154</v>
      </c>
      <c r="AQ5" s="6" t="s">
        <v>155</v>
      </c>
      <c r="AR5" s="6" t="s">
        <v>257</v>
      </c>
      <c r="AS5" s="6" t="s">
        <v>145</v>
      </c>
      <c r="AT5" s="6" t="s">
        <v>146</v>
      </c>
      <c r="AU5" s="6" t="s">
        <v>147</v>
      </c>
      <c r="AV5" s="6" t="s">
        <v>148</v>
      </c>
      <c r="AW5" s="6" t="s">
        <v>149</v>
      </c>
      <c r="AX5" s="6" t="s">
        <v>150</v>
      </c>
      <c r="AY5" s="6" t="s">
        <v>151</v>
      </c>
      <c r="AZ5" s="6" t="s">
        <v>256</v>
      </c>
      <c r="BA5" s="6" t="s">
        <v>153</v>
      </c>
      <c r="BB5" s="6" t="s">
        <v>154</v>
      </c>
      <c r="BC5" s="6" t="s">
        <v>155</v>
      </c>
      <c r="BD5" s="6" t="s">
        <v>257</v>
      </c>
      <c r="BE5" s="6" t="s">
        <v>145</v>
      </c>
      <c r="BF5" s="6" t="s">
        <v>146</v>
      </c>
      <c r="BG5" s="6" t="s">
        <v>147</v>
      </c>
      <c r="BH5" s="6" t="s">
        <v>148</v>
      </c>
      <c r="BI5" s="6" t="s">
        <v>149</v>
      </c>
      <c r="BJ5" s="6" t="s">
        <v>150</v>
      </c>
      <c r="BK5" s="6" t="s">
        <v>151</v>
      </c>
      <c r="BL5" s="6" t="s">
        <v>256</v>
      </c>
      <c r="BM5" s="6" t="s">
        <v>153</v>
      </c>
      <c r="BN5" s="6" t="s">
        <v>154</v>
      </c>
      <c r="BO5" s="6" t="s">
        <v>155</v>
      </c>
      <c r="BP5" s="6" t="s">
        <v>257</v>
      </c>
    </row>
    <row r="6" spans="1:69" x14ac:dyDescent="0.2">
      <c r="G6" s="6" t="s">
        <v>303</v>
      </c>
      <c r="H6" s="57"/>
      <c r="I6" s="129"/>
      <c r="J6" s="129"/>
      <c r="K6" s="129"/>
      <c r="L6" s="129"/>
      <c r="M6" s="129"/>
      <c r="N6" s="129"/>
      <c r="O6" s="129"/>
      <c r="P6" s="129"/>
      <c r="Q6" s="175">
        <v>1</v>
      </c>
      <c r="R6" s="175">
        <v>0</v>
      </c>
      <c r="S6" s="175">
        <v>0</v>
      </c>
      <c r="T6" s="175">
        <v>1</v>
      </c>
      <c r="U6" s="175">
        <v>0</v>
      </c>
      <c r="V6" s="175">
        <v>0</v>
      </c>
      <c r="W6" s="175">
        <v>1</v>
      </c>
      <c r="X6" s="175">
        <v>0</v>
      </c>
      <c r="Y6" s="175">
        <v>0</v>
      </c>
      <c r="Z6" s="175">
        <v>1</v>
      </c>
      <c r="AA6" s="175">
        <v>0</v>
      </c>
      <c r="AB6" s="175">
        <v>0</v>
      </c>
      <c r="AC6" s="175">
        <v>1</v>
      </c>
      <c r="AD6" s="175">
        <v>0</v>
      </c>
      <c r="AE6" s="175">
        <v>0</v>
      </c>
      <c r="AF6" s="175">
        <v>1</v>
      </c>
      <c r="AG6" s="175">
        <v>0</v>
      </c>
      <c r="AH6" s="175">
        <v>0</v>
      </c>
      <c r="AI6" s="175">
        <v>1</v>
      </c>
      <c r="AJ6" s="175">
        <v>0</v>
      </c>
      <c r="AK6" s="175">
        <v>0</v>
      </c>
      <c r="AL6" s="175">
        <v>1</v>
      </c>
      <c r="AM6" s="175">
        <v>0</v>
      </c>
      <c r="AN6" s="175">
        <v>0</v>
      </c>
      <c r="AO6" s="175">
        <v>1</v>
      </c>
      <c r="AP6" s="175">
        <v>0</v>
      </c>
      <c r="AQ6" s="175">
        <v>0</v>
      </c>
      <c r="AR6" s="175">
        <v>1</v>
      </c>
      <c r="AS6" s="175">
        <v>0</v>
      </c>
      <c r="AT6" s="175">
        <v>0</v>
      </c>
      <c r="AU6" s="175">
        <v>2</v>
      </c>
      <c r="AV6" s="175">
        <v>0</v>
      </c>
      <c r="AW6" s="175">
        <v>0</v>
      </c>
      <c r="AX6" s="175">
        <v>1</v>
      </c>
      <c r="AY6" s="175">
        <v>0</v>
      </c>
      <c r="AZ6" s="175">
        <v>0</v>
      </c>
      <c r="BA6" s="175">
        <v>1</v>
      </c>
      <c r="BB6" s="175">
        <v>0</v>
      </c>
      <c r="BC6" s="175">
        <v>0</v>
      </c>
      <c r="BD6" s="175">
        <v>1</v>
      </c>
      <c r="BE6" s="175">
        <v>0</v>
      </c>
      <c r="BF6" s="175">
        <v>0</v>
      </c>
      <c r="BG6" s="175">
        <v>2</v>
      </c>
      <c r="BH6" s="175">
        <v>0</v>
      </c>
      <c r="BI6" s="175">
        <v>0</v>
      </c>
      <c r="BJ6" s="175">
        <v>1</v>
      </c>
      <c r="BK6" s="175">
        <v>0</v>
      </c>
      <c r="BL6" s="175">
        <v>0</v>
      </c>
      <c r="BM6" s="175">
        <v>1</v>
      </c>
      <c r="BN6" s="175">
        <v>0</v>
      </c>
      <c r="BO6" s="175">
        <v>0</v>
      </c>
      <c r="BP6" s="175">
        <v>1</v>
      </c>
      <c r="BQ6" s="19">
        <f>SUM(Q6:BP6)</f>
        <v>20</v>
      </c>
    </row>
    <row r="7" spans="1:69" x14ac:dyDescent="0.2">
      <c r="G7" s="248" t="s">
        <v>304</v>
      </c>
      <c r="H7" s="248"/>
      <c r="I7" s="133">
        <f t="shared" ref="I7:AN7" si="0">SUM(I6)</f>
        <v>0</v>
      </c>
      <c r="J7" s="133">
        <f t="shared" si="0"/>
        <v>0</v>
      </c>
      <c r="K7" s="133">
        <f t="shared" si="0"/>
        <v>0</v>
      </c>
      <c r="L7" s="133">
        <f t="shared" si="0"/>
        <v>0</v>
      </c>
      <c r="M7" s="133">
        <f t="shared" si="0"/>
        <v>0</v>
      </c>
      <c r="N7" s="133">
        <f t="shared" si="0"/>
        <v>0</v>
      </c>
      <c r="O7" s="133">
        <f t="shared" si="0"/>
        <v>0</v>
      </c>
      <c r="P7" s="133">
        <f t="shared" si="0"/>
        <v>0</v>
      </c>
      <c r="Q7" s="133">
        <f t="shared" si="0"/>
        <v>1</v>
      </c>
      <c r="R7" s="133">
        <f t="shared" si="0"/>
        <v>0</v>
      </c>
      <c r="S7" s="133">
        <f t="shared" si="0"/>
        <v>0</v>
      </c>
      <c r="T7" s="133">
        <f t="shared" si="0"/>
        <v>1</v>
      </c>
      <c r="U7" s="133">
        <f t="shared" si="0"/>
        <v>0</v>
      </c>
      <c r="V7" s="133">
        <f t="shared" si="0"/>
        <v>0</v>
      </c>
      <c r="W7" s="133">
        <f t="shared" si="0"/>
        <v>1</v>
      </c>
      <c r="X7" s="133">
        <f t="shared" si="0"/>
        <v>0</v>
      </c>
      <c r="Y7" s="133">
        <f t="shared" si="0"/>
        <v>0</v>
      </c>
      <c r="Z7" s="133">
        <f t="shared" si="0"/>
        <v>1</v>
      </c>
      <c r="AA7" s="133">
        <f t="shared" si="0"/>
        <v>0</v>
      </c>
      <c r="AB7" s="133">
        <f t="shared" si="0"/>
        <v>0</v>
      </c>
      <c r="AC7" s="133">
        <f t="shared" si="0"/>
        <v>1</v>
      </c>
      <c r="AD7" s="133">
        <f t="shared" si="0"/>
        <v>0</v>
      </c>
      <c r="AE7" s="133">
        <f t="shared" si="0"/>
        <v>0</v>
      </c>
      <c r="AF7" s="133">
        <f t="shared" si="0"/>
        <v>1</v>
      </c>
      <c r="AG7" s="133">
        <f t="shared" si="0"/>
        <v>0</v>
      </c>
      <c r="AH7" s="133">
        <f t="shared" si="0"/>
        <v>0</v>
      </c>
      <c r="AI7" s="133">
        <f t="shared" si="0"/>
        <v>1</v>
      </c>
      <c r="AJ7" s="133">
        <f t="shared" si="0"/>
        <v>0</v>
      </c>
      <c r="AK7" s="133">
        <f t="shared" si="0"/>
        <v>0</v>
      </c>
      <c r="AL7" s="133">
        <f t="shared" si="0"/>
        <v>1</v>
      </c>
      <c r="AM7" s="133">
        <f t="shared" si="0"/>
        <v>0</v>
      </c>
      <c r="AN7" s="133">
        <f t="shared" si="0"/>
        <v>0</v>
      </c>
      <c r="AO7" s="133">
        <f t="shared" ref="AO7:BP7" si="1">SUM(AO6)</f>
        <v>1</v>
      </c>
      <c r="AP7" s="133">
        <f t="shared" si="1"/>
        <v>0</v>
      </c>
      <c r="AQ7" s="133">
        <f t="shared" si="1"/>
        <v>0</v>
      </c>
      <c r="AR7" s="133">
        <f t="shared" si="1"/>
        <v>1</v>
      </c>
      <c r="AS7" s="133">
        <f t="shared" si="1"/>
        <v>0</v>
      </c>
      <c r="AT7" s="133">
        <f t="shared" si="1"/>
        <v>0</v>
      </c>
      <c r="AU7" s="133">
        <f t="shared" si="1"/>
        <v>2</v>
      </c>
      <c r="AV7" s="133">
        <f t="shared" si="1"/>
        <v>0</v>
      </c>
      <c r="AW7" s="133">
        <f t="shared" si="1"/>
        <v>0</v>
      </c>
      <c r="AX7" s="133">
        <f t="shared" si="1"/>
        <v>1</v>
      </c>
      <c r="AY7" s="133">
        <f t="shared" si="1"/>
        <v>0</v>
      </c>
      <c r="AZ7" s="133">
        <f t="shared" si="1"/>
        <v>0</v>
      </c>
      <c r="BA7" s="133">
        <f t="shared" si="1"/>
        <v>1</v>
      </c>
      <c r="BB7" s="133">
        <f t="shared" si="1"/>
        <v>0</v>
      </c>
      <c r="BC7" s="133">
        <f t="shared" si="1"/>
        <v>0</v>
      </c>
      <c r="BD7" s="133">
        <f t="shared" si="1"/>
        <v>1</v>
      </c>
      <c r="BE7" s="133">
        <f t="shared" si="1"/>
        <v>0</v>
      </c>
      <c r="BF7" s="133">
        <f t="shared" si="1"/>
        <v>0</v>
      </c>
      <c r="BG7" s="133">
        <f t="shared" si="1"/>
        <v>2</v>
      </c>
      <c r="BH7" s="133">
        <f t="shared" si="1"/>
        <v>0</v>
      </c>
      <c r="BI7" s="133">
        <f t="shared" si="1"/>
        <v>0</v>
      </c>
      <c r="BJ7" s="133">
        <f t="shared" si="1"/>
        <v>1</v>
      </c>
      <c r="BK7" s="133">
        <f t="shared" si="1"/>
        <v>0</v>
      </c>
      <c r="BL7" s="133">
        <f t="shared" si="1"/>
        <v>0</v>
      </c>
      <c r="BM7" s="133">
        <f t="shared" si="1"/>
        <v>1</v>
      </c>
      <c r="BN7" s="133">
        <f t="shared" si="1"/>
        <v>0</v>
      </c>
      <c r="BO7" s="133">
        <f t="shared" si="1"/>
        <v>0</v>
      </c>
      <c r="BP7" s="133">
        <f t="shared" si="1"/>
        <v>1</v>
      </c>
    </row>
    <row r="9" spans="1:69" x14ac:dyDescent="0.2">
      <c r="A9" s="139" t="s">
        <v>305</v>
      </c>
      <c r="B9" s="139" t="s">
        <v>306</v>
      </c>
      <c r="C9" s="139" t="s">
        <v>307</v>
      </c>
      <c r="D9" s="139" t="s">
        <v>308</v>
      </c>
      <c r="E9" s="139" t="s">
        <v>309</v>
      </c>
      <c r="G9" s="240" t="s">
        <v>301</v>
      </c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  <c r="T9" s="240"/>
      <c r="U9" s="240"/>
      <c r="V9" s="240"/>
      <c r="W9" s="240"/>
      <c r="X9" s="240"/>
    </row>
    <row r="10" spans="1:69" x14ac:dyDescent="0.2">
      <c r="A10" s="176">
        <v>4520.6400000000003</v>
      </c>
      <c r="B10" s="1" t="s">
        <v>310</v>
      </c>
      <c r="C10" s="23">
        <f>A10*$B$16</f>
        <v>13561.920000000002</v>
      </c>
      <c r="D10" s="27">
        <v>0.5</v>
      </c>
      <c r="E10">
        <f>C10*1.5</f>
        <v>20342.880000000005</v>
      </c>
    </row>
    <row r="11" spans="1:69" ht="15" customHeight="1" x14ac:dyDescent="0.2">
      <c r="A11" s="176">
        <v>3961.92</v>
      </c>
      <c r="B11" s="1" t="s">
        <v>311</v>
      </c>
      <c r="C11" s="23">
        <f>A11*$B$16</f>
        <v>11885.76</v>
      </c>
      <c r="D11" s="27">
        <v>0.5</v>
      </c>
      <c r="E11">
        <f>C11*1.5</f>
        <v>17828.64</v>
      </c>
      <c r="G11" s="241"/>
      <c r="H11" s="232" t="s">
        <v>302</v>
      </c>
      <c r="I11" s="233" t="s">
        <v>112</v>
      </c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 t="s">
        <v>113</v>
      </c>
      <c r="V11" s="233"/>
      <c r="W11" s="233"/>
      <c r="X11" s="233"/>
      <c r="Y11" s="233"/>
      <c r="Z11" s="233"/>
      <c r="AA11" s="233"/>
      <c r="AB11" s="233"/>
      <c r="AC11" s="233"/>
      <c r="AD11" s="233"/>
      <c r="AE11" s="233"/>
      <c r="AF11" s="233"/>
      <c r="AG11" s="233" t="s">
        <v>114</v>
      </c>
      <c r="AH11" s="233"/>
      <c r="AI11" s="233"/>
      <c r="AJ11" s="233"/>
      <c r="AK11" s="233"/>
      <c r="AL11" s="233"/>
      <c r="AM11" s="233"/>
      <c r="AN11" s="233"/>
      <c r="AO11" s="233"/>
      <c r="AP11" s="233"/>
      <c r="AQ11" s="233"/>
      <c r="AR11" s="233"/>
      <c r="AS11" s="233" t="s">
        <v>115</v>
      </c>
      <c r="AT11" s="233"/>
      <c r="AU11" s="233"/>
      <c r="AV11" s="233"/>
      <c r="AW11" s="233"/>
      <c r="AX11" s="233"/>
      <c r="AY11" s="233"/>
      <c r="AZ11" s="233"/>
      <c r="BA11" s="233"/>
      <c r="BB11" s="233"/>
      <c r="BC11" s="233"/>
      <c r="BD11" s="233"/>
      <c r="BE11" s="233" t="s">
        <v>116</v>
      </c>
      <c r="BF11" s="233"/>
      <c r="BG11" s="233"/>
      <c r="BH11" s="233"/>
      <c r="BI11" s="233"/>
      <c r="BJ11" s="233"/>
      <c r="BK11" s="233"/>
      <c r="BL11" s="233"/>
      <c r="BM11" s="233"/>
      <c r="BN11" s="233"/>
      <c r="BO11" s="233"/>
      <c r="BP11" s="233"/>
    </row>
    <row r="12" spans="1:69" x14ac:dyDescent="0.2">
      <c r="A12" s="176">
        <v>3774.72</v>
      </c>
      <c r="B12" s="1" t="s">
        <v>312</v>
      </c>
      <c r="C12" s="23">
        <f>A12*$B$16</f>
        <v>11324.16</v>
      </c>
      <c r="D12" s="27">
        <v>0.5</v>
      </c>
      <c r="E12">
        <f>C12*1.5</f>
        <v>16986.239999999998</v>
      </c>
      <c r="G12" s="241"/>
      <c r="H12" s="232"/>
      <c r="I12" s="6" t="s">
        <v>145</v>
      </c>
      <c r="J12" s="6" t="s">
        <v>146</v>
      </c>
      <c r="K12" s="6" t="s">
        <v>147</v>
      </c>
      <c r="L12" s="6" t="s">
        <v>148</v>
      </c>
      <c r="M12" s="6" t="s">
        <v>149</v>
      </c>
      <c r="N12" s="6" t="s">
        <v>150</v>
      </c>
      <c r="O12" s="6" t="s">
        <v>151</v>
      </c>
      <c r="P12" s="6" t="s">
        <v>256</v>
      </c>
      <c r="Q12" s="6" t="s">
        <v>153</v>
      </c>
      <c r="R12" s="6" t="s">
        <v>154</v>
      </c>
      <c r="S12" s="6" t="s">
        <v>155</v>
      </c>
      <c r="T12" s="6" t="s">
        <v>257</v>
      </c>
      <c r="U12" s="6" t="s">
        <v>145</v>
      </c>
      <c r="V12" s="6" t="s">
        <v>146</v>
      </c>
      <c r="W12" s="6" t="s">
        <v>147</v>
      </c>
      <c r="X12" s="6" t="s">
        <v>148</v>
      </c>
      <c r="Y12" s="6" t="s">
        <v>149</v>
      </c>
      <c r="Z12" s="6" t="s">
        <v>150</v>
      </c>
      <c r="AA12" s="6" t="s">
        <v>151</v>
      </c>
      <c r="AB12" s="6" t="s">
        <v>256</v>
      </c>
      <c r="AC12" s="6" t="s">
        <v>153</v>
      </c>
      <c r="AD12" s="6" t="s">
        <v>154</v>
      </c>
      <c r="AE12" s="6" t="s">
        <v>155</v>
      </c>
      <c r="AF12" s="6" t="s">
        <v>257</v>
      </c>
      <c r="AG12" s="6" t="s">
        <v>145</v>
      </c>
      <c r="AH12" s="6" t="s">
        <v>146</v>
      </c>
      <c r="AI12" s="6" t="s">
        <v>147</v>
      </c>
      <c r="AJ12" s="6" t="s">
        <v>148</v>
      </c>
      <c r="AK12" s="6" t="s">
        <v>149</v>
      </c>
      <c r="AL12" s="6" t="s">
        <v>150</v>
      </c>
      <c r="AM12" s="6" t="s">
        <v>151</v>
      </c>
      <c r="AN12" s="6" t="s">
        <v>256</v>
      </c>
      <c r="AO12" s="6" t="s">
        <v>153</v>
      </c>
      <c r="AP12" s="6" t="s">
        <v>154</v>
      </c>
      <c r="AQ12" s="6" t="s">
        <v>155</v>
      </c>
      <c r="AR12" s="6" t="s">
        <v>257</v>
      </c>
      <c r="AS12" s="6" t="s">
        <v>145</v>
      </c>
      <c r="AT12" s="6" t="s">
        <v>146</v>
      </c>
      <c r="AU12" s="6" t="s">
        <v>147</v>
      </c>
      <c r="AV12" s="6" t="s">
        <v>148</v>
      </c>
      <c r="AW12" s="6" t="s">
        <v>149</v>
      </c>
      <c r="AX12" s="6" t="s">
        <v>150</v>
      </c>
      <c r="AY12" s="6" t="s">
        <v>151</v>
      </c>
      <c r="AZ12" s="6" t="s">
        <v>256</v>
      </c>
      <c r="BA12" s="6" t="s">
        <v>153</v>
      </c>
      <c r="BB12" s="6" t="s">
        <v>154</v>
      </c>
      <c r="BC12" s="6" t="s">
        <v>155</v>
      </c>
      <c r="BD12" s="6" t="s">
        <v>257</v>
      </c>
      <c r="BE12" s="6" t="s">
        <v>145</v>
      </c>
      <c r="BF12" s="6" t="s">
        <v>146</v>
      </c>
      <c r="BG12" s="6" t="s">
        <v>147</v>
      </c>
      <c r="BH12" s="6" t="s">
        <v>148</v>
      </c>
      <c r="BI12" s="6" t="s">
        <v>149</v>
      </c>
      <c r="BJ12" s="6" t="s">
        <v>150</v>
      </c>
      <c r="BK12" s="6" t="s">
        <v>151</v>
      </c>
      <c r="BL12" s="6" t="s">
        <v>256</v>
      </c>
      <c r="BM12" s="6" t="s">
        <v>153</v>
      </c>
      <c r="BN12" s="6" t="s">
        <v>154</v>
      </c>
      <c r="BO12" s="6" t="s">
        <v>155</v>
      </c>
      <c r="BP12" s="6" t="s">
        <v>257</v>
      </c>
    </row>
    <row r="13" spans="1:69" s="19" customFormat="1" x14ac:dyDescent="0.2">
      <c r="A13" s="176">
        <v>3402.24</v>
      </c>
      <c r="B13" s="23" t="s">
        <v>313</v>
      </c>
      <c r="C13" s="23">
        <f>A13*$B$16</f>
        <v>10206.719999999999</v>
      </c>
      <c r="D13" s="27">
        <v>0.5</v>
      </c>
      <c r="E13" s="19">
        <f>C13*1.5</f>
        <v>15310.079999999998</v>
      </c>
      <c r="G13" s="11" t="s">
        <v>303</v>
      </c>
      <c r="H13" s="56">
        <v>10</v>
      </c>
      <c r="I13" s="175">
        <f t="shared" ref="I13:AN13" si="2">I6</f>
        <v>0</v>
      </c>
      <c r="J13" s="175">
        <f t="shared" si="2"/>
        <v>0</v>
      </c>
      <c r="K13" s="175">
        <f t="shared" si="2"/>
        <v>0</v>
      </c>
      <c r="L13" s="175">
        <f t="shared" si="2"/>
        <v>0</v>
      </c>
      <c r="M13" s="175">
        <f t="shared" si="2"/>
        <v>0</v>
      </c>
      <c r="N13" s="175">
        <f t="shared" si="2"/>
        <v>0</v>
      </c>
      <c r="O13" s="175">
        <f t="shared" si="2"/>
        <v>0</v>
      </c>
      <c r="P13" s="175">
        <f t="shared" si="2"/>
        <v>0</v>
      </c>
      <c r="Q13" s="175">
        <f t="shared" si="2"/>
        <v>1</v>
      </c>
      <c r="R13" s="175">
        <f t="shared" si="2"/>
        <v>0</v>
      </c>
      <c r="S13" s="175">
        <f t="shared" si="2"/>
        <v>0</v>
      </c>
      <c r="T13" s="175">
        <f t="shared" si="2"/>
        <v>1</v>
      </c>
      <c r="U13" s="175">
        <f t="shared" si="2"/>
        <v>0</v>
      </c>
      <c r="V13" s="175">
        <f t="shared" si="2"/>
        <v>0</v>
      </c>
      <c r="W13" s="175">
        <f t="shared" si="2"/>
        <v>1</v>
      </c>
      <c r="X13" s="175">
        <f t="shared" si="2"/>
        <v>0</v>
      </c>
      <c r="Y13" s="175">
        <f t="shared" si="2"/>
        <v>0</v>
      </c>
      <c r="Z13" s="175">
        <f t="shared" si="2"/>
        <v>1</v>
      </c>
      <c r="AA13" s="175">
        <f t="shared" si="2"/>
        <v>0</v>
      </c>
      <c r="AB13" s="175">
        <f t="shared" si="2"/>
        <v>0</v>
      </c>
      <c r="AC13" s="175">
        <f t="shared" si="2"/>
        <v>1</v>
      </c>
      <c r="AD13" s="175">
        <f t="shared" si="2"/>
        <v>0</v>
      </c>
      <c r="AE13" s="175">
        <f t="shared" si="2"/>
        <v>0</v>
      </c>
      <c r="AF13" s="175">
        <f t="shared" si="2"/>
        <v>1</v>
      </c>
      <c r="AG13" s="175">
        <f t="shared" si="2"/>
        <v>0</v>
      </c>
      <c r="AH13" s="175">
        <f t="shared" si="2"/>
        <v>0</v>
      </c>
      <c r="AI13" s="175">
        <f t="shared" si="2"/>
        <v>1</v>
      </c>
      <c r="AJ13" s="175">
        <f t="shared" si="2"/>
        <v>0</v>
      </c>
      <c r="AK13" s="175">
        <f t="shared" si="2"/>
        <v>0</v>
      </c>
      <c r="AL13" s="175">
        <f t="shared" si="2"/>
        <v>1</v>
      </c>
      <c r="AM13" s="175">
        <f t="shared" si="2"/>
        <v>0</v>
      </c>
      <c r="AN13" s="175">
        <f t="shared" si="2"/>
        <v>0</v>
      </c>
      <c r="AO13" s="175">
        <f t="shared" ref="AO13:BP13" si="3">AO6</f>
        <v>1</v>
      </c>
      <c r="AP13" s="175">
        <f t="shared" si="3"/>
        <v>0</v>
      </c>
      <c r="AQ13" s="175">
        <f t="shared" si="3"/>
        <v>0</v>
      </c>
      <c r="AR13" s="175">
        <f t="shared" si="3"/>
        <v>1</v>
      </c>
      <c r="AS13" s="175">
        <f t="shared" si="3"/>
        <v>0</v>
      </c>
      <c r="AT13" s="175">
        <f t="shared" si="3"/>
        <v>0</v>
      </c>
      <c r="AU13" s="175">
        <f t="shared" si="3"/>
        <v>2</v>
      </c>
      <c r="AV13" s="175">
        <f t="shared" si="3"/>
        <v>0</v>
      </c>
      <c r="AW13" s="175">
        <f t="shared" si="3"/>
        <v>0</v>
      </c>
      <c r="AX13" s="175">
        <f t="shared" si="3"/>
        <v>1</v>
      </c>
      <c r="AY13" s="175">
        <f t="shared" si="3"/>
        <v>0</v>
      </c>
      <c r="AZ13" s="175">
        <f t="shared" si="3"/>
        <v>0</v>
      </c>
      <c r="BA13" s="175">
        <f t="shared" si="3"/>
        <v>1</v>
      </c>
      <c r="BB13" s="175">
        <f t="shared" si="3"/>
        <v>0</v>
      </c>
      <c r="BC13" s="175">
        <f t="shared" si="3"/>
        <v>0</v>
      </c>
      <c r="BD13" s="175">
        <f t="shared" si="3"/>
        <v>1</v>
      </c>
      <c r="BE13" s="175">
        <f t="shared" si="3"/>
        <v>0</v>
      </c>
      <c r="BF13" s="175">
        <f t="shared" si="3"/>
        <v>0</v>
      </c>
      <c r="BG13" s="175">
        <f t="shared" si="3"/>
        <v>2</v>
      </c>
      <c r="BH13" s="175">
        <f t="shared" si="3"/>
        <v>0</v>
      </c>
      <c r="BI13" s="175">
        <f t="shared" si="3"/>
        <v>0</v>
      </c>
      <c r="BJ13" s="175">
        <f t="shared" si="3"/>
        <v>1</v>
      </c>
      <c r="BK13" s="175">
        <f t="shared" si="3"/>
        <v>0</v>
      </c>
      <c r="BL13" s="175">
        <f t="shared" si="3"/>
        <v>0</v>
      </c>
      <c r="BM13" s="175">
        <f t="shared" si="3"/>
        <v>1</v>
      </c>
      <c r="BN13" s="175">
        <f t="shared" si="3"/>
        <v>0</v>
      </c>
      <c r="BO13" s="175">
        <f t="shared" si="3"/>
        <v>0</v>
      </c>
      <c r="BP13" s="175">
        <f t="shared" si="3"/>
        <v>1</v>
      </c>
    </row>
    <row r="14" spans="1:69" x14ac:dyDescent="0.2">
      <c r="G14" s="248" t="s">
        <v>304</v>
      </c>
      <c r="H14" s="248"/>
      <c r="I14" s="133">
        <f t="shared" ref="I14:T14" si="4">$E$10*I13</f>
        <v>0</v>
      </c>
      <c r="J14" s="133">
        <f t="shared" si="4"/>
        <v>0</v>
      </c>
      <c r="K14" s="133">
        <f t="shared" si="4"/>
        <v>0</v>
      </c>
      <c r="L14" s="133">
        <f t="shared" si="4"/>
        <v>0</v>
      </c>
      <c r="M14" s="133">
        <f t="shared" si="4"/>
        <v>0</v>
      </c>
      <c r="N14" s="133">
        <f t="shared" si="4"/>
        <v>0</v>
      </c>
      <c r="O14" s="133">
        <f t="shared" si="4"/>
        <v>0</v>
      </c>
      <c r="P14" s="133">
        <f t="shared" si="4"/>
        <v>0</v>
      </c>
      <c r="Q14" s="133">
        <f t="shared" si="4"/>
        <v>20342.880000000005</v>
      </c>
      <c r="R14" s="133">
        <f t="shared" si="4"/>
        <v>0</v>
      </c>
      <c r="S14" s="133">
        <f t="shared" si="4"/>
        <v>0</v>
      </c>
      <c r="T14" s="133">
        <f t="shared" si="4"/>
        <v>20342.880000000005</v>
      </c>
      <c r="U14" s="133">
        <f t="shared" ref="U14:AF14" si="5">$E$11*U13</f>
        <v>0</v>
      </c>
      <c r="V14" s="133">
        <f t="shared" si="5"/>
        <v>0</v>
      </c>
      <c r="W14" s="133">
        <f t="shared" si="5"/>
        <v>17828.64</v>
      </c>
      <c r="X14" s="133">
        <f t="shared" si="5"/>
        <v>0</v>
      </c>
      <c r="Y14" s="133">
        <f t="shared" si="5"/>
        <v>0</v>
      </c>
      <c r="Z14" s="133">
        <f t="shared" si="5"/>
        <v>17828.64</v>
      </c>
      <c r="AA14" s="133">
        <f t="shared" si="5"/>
        <v>0</v>
      </c>
      <c r="AB14" s="133">
        <f t="shared" si="5"/>
        <v>0</v>
      </c>
      <c r="AC14" s="133">
        <f t="shared" si="5"/>
        <v>17828.64</v>
      </c>
      <c r="AD14" s="133">
        <f t="shared" si="5"/>
        <v>0</v>
      </c>
      <c r="AE14" s="133">
        <f t="shared" si="5"/>
        <v>0</v>
      </c>
      <c r="AF14" s="133">
        <f t="shared" si="5"/>
        <v>17828.64</v>
      </c>
      <c r="AG14" s="133">
        <f t="shared" ref="AG14:BP14" si="6">$E$12*AG13</f>
        <v>0</v>
      </c>
      <c r="AH14" s="133">
        <f t="shared" si="6"/>
        <v>0</v>
      </c>
      <c r="AI14" s="133">
        <f t="shared" si="6"/>
        <v>16986.239999999998</v>
      </c>
      <c r="AJ14" s="133">
        <f t="shared" si="6"/>
        <v>0</v>
      </c>
      <c r="AK14" s="133">
        <f t="shared" si="6"/>
        <v>0</v>
      </c>
      <c r="AL14" s="133">
        <f t="shared" si="6"/>
        <v>16986.239999999998</v>
      </c>
      <c r="AM14" s="133">
        <f t="shared" si="6"/>
        <v>0</v>
      </c>
      <c r="AN14" s="133">
        <f t="shared" si="6"/>
        <v>0</v>
      </c>
      <c r="AO14" s="133">
        <f t="shared" si="6"/>
        <v>16986.239999999998</v>
      </c>
      <c r="AP14" s="133">
        <f t="shared" si="6"/>
        <v>0</v>
      </c>
      <c r="AQ14" s="133">
        <f t="shared" si="6"/>
        <v>0</v>
      </c>
      <c r="AR14" s="133">
        <f t="shared" si="6"/>
        <v>16986.239999999998</v>
      </c>
      <c r="AS14" s="133">
        <f t="shared" si="6"/>
        <v>0</v>
      </c>
      <c r="AT14" s="133">
        <f t="shared" si="6"/>
        <v>0</v>
      </c>
      <c r="AU14" s="133">
        <f t="shared" si="6"/>
        <v>33972.479999999996</v>
      </c>
      <c r="AV14" s="133">
        <f t="shared" si="6"/>
        <v>0</v>
      </c>
      <c r="AW14" s="133">
        <f t="shared" si="6"/>
        <v>0</v>
      </c>
      <c r="AX14" s="133">
        <f t="shared" si="6"/>
        <v>16986.239999999998</v>
      </c>
      <c r="AY14" s="133">
        <f t="shared" si="6"/>
        <v>0</v>
      </c>
      <c r="AZ14" s="133">
        <f t="shared" si="6"/>
        <v>0</v>
      </c>
      <c r="BA14" s="133">
        <f t="shared" si="6"/>
        <v>16986.239999999998</v>
      </c>
      <c r="BB14" s="133">
        <f t="shared" si="6"/>
        <v>0</v>
      </c>
      <c r="BC14" s="133">
        <f t="shared" si="6"/>
        <v>0</v>
      </c>
      <c r="BD14" s="133">
        <f t="shared" si="6"/>
        <v>16986.239999999998</v>
      </c>
      <c r="BE14" s="133">
        <f t="shared" si="6"/>
        <v>0</v>
      </c>
      <c r="BF14" s="133">
        <f t="shared" si="6"/>
        <v>0</v>
      </c>
      <c r="BG14" s="133">
        <f t="shared" si="6"/>
        <v>33972.479999999996</v>
      </c>
      <c r="BH14" s="133">
        <f t="shared" si="6"/>
        <v>0</v>
      </c>
      <c r="BI14" s="133">
        <f t="shared" si="6"/>
        <v>0</v>
      </c>
      <c r="BJ14" s="133">
        <f t="shared" si="6"/>
        <v>16986.239999999998</v>
      </c>
      <c r="BK14" s="133">
        <f t="shared" si="6"/>
        <v>0</v>
      </c>
      <c r="BL14" s="133">
        <f t="shared" si="6"/>
        <v>0</v>
      </c>
      <c r="BM14" s="133">
        <f t="shared" si="6"/>
        <v>16986.239999999998</v>
      </c>
      <c r="BN14" s="133">
        <f t="shared" si="6"/>
        <v>0</v>
      </c>
      <c r="BO14" s="133">
        <f t="shared" si="6"/>
        <v>0</v>
      </c>
      <c r="BP14" s="133">
        <f t="shared" si="6"/>
        <v>16986.239999999998</v>
      </c>
    </row>
    <row r="15" spans="1:69" x14ac:dyDescent="0.2">
      <c r="I15" s="19">
        <f>SUM(I14:T14)</f>
        <v>40685.760000000009</v>
      </c>
      <c r="U15" s="19">
        <f>SUM(U14:AF14)</f>
        <v>71314.559999999998</v>
      </c>
      <c r="AG15" s="19">
        <f>SUM(AG14:AR14)</f>
        <v>67944.959999999992</v>
      </c>
      <c r="AS15" s="19">
        <f>SUM(AS14:BD14)</f>
        <v>84931.199999999983</v>
      </c>
      <c r="BE15" s="19">
        <f>SUM(BE14:BP14)</f>
        <v>84931.199999999983</v>
      </c>
    </row>
    <row r="16" spans="1:69" x14ac:dyDescent="0.2">
      <c r="A16" s="176"/>
      <c r="B16" s="139">
        <v>3</v>
      </c>
      <c r="G16" s="240" t="s">
        <v>314</v>
      </c>
      <c r="H16" s="240"/>
      <c r="I16" s="240"/>
      <c r="J16" s="240"/>
      <c r="K16" s="240"/>
      <c r="L16" s="240"/>
      <c r="M16" s="240"/>
      <c r="N16" s="240"/>
      <c r="O16" s="240"/>
      <c r="P16" s="240"/>
      <c r="Q16" s="240"/>
      <c r="R16" s="240"/>
      <c r="S16" s="240"/>
      <c r="T16" s="240"/>
      <c r="U16" s="240"/>
      <c r="V16" s="240"/>
      <c r="W16" s="240"/>
      <c r="X16" s="240"/>
    </row>
    <row r="18" spans="7:68" ht="15" customHeight="1" x14ac:dyDescent="0.2">
      <c r="G18" s="241"/>
      <c r="H18" s="232" t="s">
        <v>302</v>
      </c>
      <c r="I18" s="233" t="s">
        <v>112</v>
      </c>
      <c r="J18" s="233"/>
      <c r="K18" s="233"/>
      <c r="L18" s="233"/>
      <c r="M18" s="233"/>
      <c r="N18" s="233"/>
      <c r="O18" s="233"/>
      <c r="P18" s="233"/>
      <c r="Q18" s="233"/>
      <c r="R18" s="233"/>
      <c r="S18" s="233"/>
      <c r="T18" s="233"/>
      <c r="U18" s="233" t="s">
        <v>113</v>
      </c>
      <c r="V18" s="233"/>
      <c r="W18" s="233"/>
      <c r="X18" s="233"/>
      <c r="Y18" s="233"/>
      <c r="Z18" s="233"/>
      <c r="AA18" s="233"/>
      <c r="AB18" s="233"/>
      <c r="AC18" s="233"/>
      <c r="AD18" s="233"/>
      <c r="AE18" s="233"/>
      <c r="AF18" s="233"/>
      <c r="AG18" s="233" t="s">
        <v>114</v>
      </c>
      <c r="AH18" s="233"/>
      <c r="AI18" s="233"/>
      <c r="AJ18" s="233"/>
      <c r="AK18" s="233"/>
      <c r="AL18" s="233"/>
      <c r="AM18" s="233"/>
      <c r="AN18" s="233"/>
      <c r="AO18" s="233"/>
      <c r="AP18" s="233"/>
      <c r="AQ18" s="233"/>
      <c r="AR18" s="233"/>
      <c r="AS18" s="233" t="s">
        <v>115</v>
      </c>
      <c r="AT18" s="233"/>
      <c r="AU18" s="233"/>
      <c r="AV18" s="233"/>
      <c r="AW18" s="233"/>
      <c r="AX18" s="233"/>
      <c r="AY18" s="233"/>
      <c r="AZ18" s="233"/>
      <c r="BA18" s="233"/>
      <c r="BB18" s="233"/>
      <c r="BC18" s="233"/>
      <c r="BD18" s="233"/>
      <c r="BE18" s="233" t="s">
        <v>116</v>
      </c>
      <c r="BF18" s="233"/>
      <c r="BG18" s="233"/>
      <c r="BH18" s="233"/>
      <c r="BI18" s="233"/>
      <c r="BJ18" s="233"/>
      <c r="BK18" s="233"/>
      <c r="BL18" s="233"/>
      <c r="BM18" s="233"/>
      <c r="BN18" s="233"/>
      <c r="BO18" s="233"/>
      <c r="BP18" s="233"/>
    </row>
    <row r="19" spans="7:68" x14ac:dyDescent="0.2">
      <c r="G19" s="241"/>
      <c r="H19" s="232"/>
      <c r="I19" s="6" t="s">
        <v>145</v>
      </c>
      <c r="J19" s="6" t="s">
        <v>146</v>
      </c>
      <c r="K19" s="6" t="s">
        <v>147</v>
      </c>
      <c r="L19" s="6" t="s">
        <v>148</v>
      </c>
      <c r="M19" s="6" t="s">
        <v>149</v>
      </c>
      <c r="N19" s="6" t="s">
        <v>150</v>
      </c>
      <c r="O19" s="6" t="s">
        <v>151</v>
      </c>
      <c r="P19" s="6" t="s">
        <v>256</v>
      </c>
      <c r="Q19" s="6" t="s">
        <v>153</v>
      </c>
      <c r="R19" s="6" t="s">
        <v>154</v>
      </c>
      <c r="S19" s="6" t="s">
        <v>155</v>
      </c>
      <c r="T19" s="6" t="s">
        <v>257</v>
      </c>
      <c r="U19" s="6" t="s">
        <v>145</v>
      </c>
      <c r="V19" s="6" t="s">
        <v>146</v>
      </c>
      <c r="W19" s="6" t="s">
        <v>147</v>
      </c>
      <c r="X19" s="6" t="s">
        <v>148</v>
      </c>
      <c r="Y19" s="6" t="s">
        <v>149</v>
      </c>
      <c r="Z19" s="6" t="s">
        <v>150</v>
      </c>
      <c r="AA19" s="6" t="s">
        <v>151</v>
      </c>
      <c r="AB19" s="6" t="s">
        <v>256</v>
      </c>
      <c r="AC19" s="6" t="s">
        <v>153</v>
      </c>
      <c r="AD19" s="6" t="s">
        <v>154</v>
      </c>
      <c r="AE19" s="6" t="s">
        <v>155</v>
      </c>
      <c r="AF19" s="6" t="s">
        <v>257</v>
      </c>
      <c r="AG19" s="6" t="s">
        <v>145</v>
      </c>
      <c r="AH19" s="6" t="s">
        <v>146</v>
      </c>
      <c r="AI19" s="6" t="s">
        <v>147</v>
      </c>
      <c r="AJ19" s="6" t="s">
        <v>148</v>
      </c>
      <c r="AK19" s="6" t="s">
        <v>149</v>
      </c>
      <c r="AL19" s="6" t="s">
        <v>150</v>
      </c>
      <c r="AM19" s="6" t="s">
        <v>151</v>
      </c>
      <c r="AN19" s="6" t="s">
        <v>256</v>
      </c>
      <c r="AO19" s="6" t="s">
        <v>153</v>
      </c>
      <c r="AP19" s="6" t="s">
        <v>154</v>
      </c>
      <c r="AQ19" s="6" t="s">
        <v>155</v>
      </c>
      <c r="AR19" s="6" t="s">
        <v>257</v>
      </c>
      <c r="AS19" s="6" t="s">
        <v>145</v>
      </c>
      <c r="AT19" s="6" t="s">
        <v>146</v>
      </c>
      <c r="AU19" s="6" t="s">
        <v>147</v>
      </c>
      <c r="AV19" s="6" t="s">
        <v>148</v>
      </c>
      <c r="AW19" s="6" t="s">
        <v>149</v>
      </c>
      <c r="AX19" s="6" t="s">
        <v>150</v>
      </c>
      <c r="AY19" s="6" t="s">
        <v>151</v>
      </c>
      <c r="AZ19" s="6" t="s">
        <v>256</v>
      </c>
      <c r="BA19" s="6" t="s">
        <v>153</v>
      </c>
      <c r="BB19" s="6" t="s">
        <v>154</v>
      </c>
      <c r="BC19" s="6" t="s">
        <v>155</v>
      </c>
      <c r="BD19" s="6" t="s">
        <v>257</v>
      </c>
      <c r="BE19" s="6" t="s">
        <v>145</v>
      </c>
      <c r="BF19" s="6" t="s">
        <v>146</v>
      </c>
      <c r="BG19" s="6" t="s">
        <v>147</v>
      </c>
      <c r="BH19" s="6" t="s">
        <v>148</v>
      </c>
      <c r="BI19" s="6" t="s">
        <v>149</v>
      </c>
      <c r="BJ19" s="6" t="s">
        <v>150</v>
      </c>
      <c r="BK19" s="6" t="s">
        <v>151</v>
      </c>
      <c r="BL19" s="6" t="s">
        <v>256</v>
      </c>
      <c r="BM19" s="6" t="s">
        <v>153</v>
      </c>
      <c r="BN19" s="6" t="s">
        <v>154</v>
      </c>
      <c r="BO19" s="6" t="s">
        <v>155</v>
      </c>
      <c r="BP19" s="6" t="s">
        <v>257</v>
      </c>
    </row>
    <row r="20" spans="7:68" x14ac:dyDescent="0.2">
      <c r="G20" s="6"/>
      <c r="H20" s="57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28"/>
      <c r="AX20" s="128"/>
      <c r="AY20" s="128"/>
      <c r="AZ20" s="128"/>
      <c r="BA20" s="128"/>
      <c r="BB20" s="128"/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  <c r="BP20" s="128"/>
    </row>
    <row r="21" spans="7:68" x14ac:dyDescent="0.2">
      <c r="G21" s="11" t="s">
        <v>303</v>
      </c>
      <c r="H21" s="56">
        <v>10</v>
      </c>
      <c r="I21" s="175">
        <f t="shared" ref="I21:AN21" si="7">I13</f>
        <v>0</v>
      </c>
      <c r="J21" s="175">
        <f t="shared" si="7"/>
        <v>0</v>
      </c>
      <c r="K21" s="175">
        <f t="shared" si="7"/>
        <v>0</v>
      </c>
      <c r="L21" s="175">
        <f t="shared" si="7"/>
        <v>0</v>
      </c>
      <c r="M21" s="175">
        <f t="shared" si="7"/>
        <v>0</v>
      </c>
      <c r="N21" s="175">
        <f t="shared" si="7"/>
        <v>0</v>
      </c>
      <c r="O21" s="175">
        <f t="shared" si="7"/>
        <v>0</v>
      </c>
      <c r="P21" s="175">
        <f t="shared" si="7"/>
        <v>0</v>
      </c>
      <c r="Q21" s="175">
        <f t="shared" si="7"/>
        <v>1</v>
      </c>
      <c r="R21" s="175">
        <f t="shared" si="7"/>
        <v>0</v>
      </c>
      <c r="S21" s="175">
        <f t="shared" si="7"/>
        <v>0</v>
      </c>
      <c r="T21" s="175">
        <f t="shared" si="7"/>
        <v>1</v>
      </c>
      <c r="U21" s="175">
        <f t="shared" si="7"/>
        <v>0</v>
      </c>
      <c r="V21" s="175">
        <f t="shared" si="7"/>
        <v>0</v>
      </c>
      <c r="W21" s="175">
        <f t="shared" si="7"/>
        <v>1</v>
      </c>
      <c r="X21" s="175">
        <f t="shared" si="7"/>
        <v>0</v>
      </c>
      <c r="Y21" s="175">
        <f t="shared" si="7"/>
        <v>0</v>
      </c>
      <c r="Z21" s="175">
        <f t="shared" si="7"/>
        <v>1</v>
      </c>
      <c r="AA21" s="175">
        <f t="shared" si="7"/>
        <v>0</v>
      </c>
      <c r="AB21" s="175">
        <f t="shared" si="7"/>
        <v>0</v>
      </c>
      <c r="AC21" s="175">
        <f t="shared" si="7"/>
        <v>1</v>
      </c>
      <c r="AD21" s="175">
        <f t="shared" si="7"/>
        <v>0</v>
      </c>
      <c r="AE21" s="175">
        <f t="shared" si="7"/>
        <v>0</v>
      </c>
      <c r="AF21" s="175">
        <f t="shared" si="7"/>
        <v>1</v>
      </c>
      <c r="AG21" s="175">
        <f t="shared" si="7"/>
        <v>0</v>
      </c>
      <c r="AH21" s="175">
        <f t="shared" si="7"/>
        <v>0</v>
      </c>
      <c r="AI21" s="175">
        <f t="shared" si="7"/>
        <v>1</v>
      </c>
      <c r="AJ21" s="175">
        <f t="shared" si="7"/>
        <v>0</v>
      </c>
      <c r="AK21" s="175">
        <f t="shared" si="7"/>
        <v>0</v>
      </c>
      <c r="AL21" s="175">
        <f t="shared" si="7"/>
        <v>1</v>
      </c>
      <c r="AM21" s="175">
        <f t="shared" si="7"/>
        <v>0</v>
      </c>
      <c r="AN21" s="175">
        <f t="shared" si="7"/>
        <v>0</v>
      </c>
      <c r="AO21" s="175">
        <f t="shared" ref="AO21:BP21" si="8">AO13</f>
        <v>1</v>
      </c>
      <c r="AP21" s="175">
        <f t="shared" si="8"/>
        <v>0</v>
      </c>
      <c r="AQ21" s="175">
        <f t="shared" si="8"/>
        <v>0</v>
      </c>
      <c r="AR21" s="175">
        <f t="shared" si="8"/>
        <v>1</v>
      </c>
      <c r="AS21" s="175">
        <f t="shared" si="8"/>
        <v>0</v>
      </c>
      <c r="AT21" s="175">
        <f t="shared" si="8"/>
        <v>0</v>
      </c>
      <c r="AU21" s="175">
        <f t="shared" si="8"/>
        <v>2</v>
      </c>
      <c r="AV21" s="175">
        <f t="shared" si="8"/>
        <v>0</v>
      </c>
      <c r="AW21" s="175">
        <f t="shared" si="8"/>
        <v>0</v>
      </c>
      <c r="AX21" s="175">
        <f t="shared" si="8"/>
        <v>1</v>
      </c>
      <c r="AY21" s="175">
        <f t="shared" si="8"/>
        <v>0</v>
      </c>
      <c r="AZ21" s="175">
        <f t="shared" si="8"/>
        <v>0</v>
      </c>
      <c r="BA21" s="175">
        <f t="shared" si="8"/>
        <v>1</v>
      </c>
      <c r="BB21" s="175">
        <f t="shared" si="8"/>
        <v>0</v>
      </c>
      <c r="BC21" s="175">
        <f t="shared" si="8"/>
        <v>0</v>
      </c>
      <c r="BD21" s="175">
        <f t="shared" si="8"/>
        <v>1</v>
      </c>
      <c r="BE21" s="175">
        <f t="shared" si="8"/>
        <v>0</v>
      </c>
      <c r="BF21" s="175">
        <f t="shared" si="8"/>
        <v>0</v>
      </c>
      <c r="BG21" s="175">
        <f t="shared" si="8"/>
        <v>2</v>
      </c>
      <c r="BH21" s="175">
        <f t="shared" si="8"/>
        <v>0</v>
      </c>
      <c r="BI21" s="175">
        <f t="shared" si="8"/>
        <v>0</v>
      </c>
      <c r="BJ21" s="175">
        <f t="shared" si="8"/>
        <v>1</v>
      </c>
      <c r="BK21" s="175">
        <f t="shared" si="8"/>
        <v>0</v>
      </c>
      <c r="BL21" s="175">
        <f t="shared" si="8"/>
        <v>0</v>
      </c>
      <c r="BM21" s="175">
        <f t="shared" si="8"/>
        <v>1</v>
      </c>
      <c r="BN21" s="175">
        <f t="shared" si="8"/>
        <v>0</v>
      </c>
      <c r="BO21" s="175">
        <f t="shared" si="8"/>
        <v>0</v>
      </c>
      <c r="BP21" s="175">
        <f t="shared" si="8"/>
        <v>1</v>
      </c>
    </row>
    <row r="22" spans="7:68" x14ac:dyDescent="0.2">
      <c r="G22" s="248" t="s">
        <v>304</v>
      </c>
      <c r="H22" s="248"/>
      <c r="I22" s="133">
        <f t="shared" ref="I22:P22" si="9">$E$10*I21</f>
        <v>0</v>
      </c>
      <c r="J22" s="133">
        <f t="shared" si="9"/>
        <v>0</v>
      </c>
      <c r="K22" s="133">
        <f t="shared" si="9"/>
        <v>0</v>
      </c>
      <c r="L22" s="133">
        <f t="shared" si="9"/>
        <v>0</v>
      </c>
      <c r="M22" s="133">
        <f t="shared" si="9"/>
        <v>0</v>
      </c>
      <c r="N22" s="133">
        <f t="shared" si="9"/>
        <v>0</v>
      </c>
      <c r="O22" s="133">
        <f t="shared" si="9"/>
        <v>0</v>
      </c>
      <c r="P22" s="133">
        <f t="shared" si="9"/>
        <v>0</v>
      </c>
      <c r="Q22" s="133">
        <f>Q21*$C$10</f>
        <v>13561.920000000002</v>
      </c>
      <c r="R22" s="133"/>
      <c r="S22" s="133">
        <f>S21*$C$10</f>
        <v>0</v>
      </c>
      <c r="T22" s="133"/>
      <c r="U22" s="133">
        <f>U21*$C$11</f>
        <v>0</v>
      </c>
      <c r="V22" s="133"/>
      <c r="W22" s="133">
        <f>W21*$C$11</f>
        <v>11885.76</v>
      </c>
      <c r="X22" s="133"/>
      <c r="Y22" s="133"/>
      <c r="Z22" s="133">
        <f>Z21*$C$11</f>
        <v>11885.76</v>
      </c>
      <c r="AA22" s="133"/>
      <c r="AB22" s="133">
        <f>AB21*$C$11</f>
        <v>0</v>
      </c>
      <c r="AC22" s="133"/>
      <c r="AD22" s="133">
        <f>AD21*$C$11</f>
        <v>0</v>
      </c>
      <c r="AE22" s="133"/>
      <c r="AF22" s="133"/>
      <c r="AG22" s="133">
        <f>AG21*$C$12</f>
        <v>0</v>
      </c>
      <c r="AH22" s="133"/>
      <c r="AI22" s="133">
        <f t="shared" ref="AI22:BP22" si="10">AI21*$C$12</f>
        <v>11324.16</v>
      </c>
      <c r="AJ22" s="133">
        <f t="shared" si="10"/>
        <v>0</v>
      </c>
      <c r="AK22" s="133">
        <f t="shared" si="10"/>
        <v>0</v>
      </c>
      <c r="AL22" s="133">
        <f t="shared" si="10"/>
        <v>11324.16</v>
      </c>
      <c r="AM22" s="133">
        <f t="shared" si="10"/>
        <v>0</v>
      </c>
      <c r="AN22" s="133">
        <f t="shared" si="10"/>
        <v>0</v>
      </c>
      <c r="AO22" s="133">
        <f t="shared" si="10"/>
        <v>11324.16</v>
      </c>
      <c r="AP22" s="133">
        <f t="shared" si="10"/>
        <v>0</v>
      </c>
      <c r="AQ22" s="133">
        <f t="shared" si="10"/>
        <v>0</v>
      </c>
      <c r="AR22" s="133">
        <f t="shared" si="10"/>
        <v>11324.16</v>
      </c>
      <c r="AS22" s="133">
        <f t="shared" si="10"/>
        <v>0</v>
      </c>
      <c r="AT22" s="133">
        <f t="shared" si="10"/>
        <v>0</v>
      </c>
      <c r="AU22" s="133">
        <f t="shared" si="10"/>
        <v>22648.32</v>
      </c>
      <c r="AV22" s="133">
        <f t="shared" si="10"/>
        <v>0</v>
      </c>
      <c r="AW22" s="133">
        <f t="shared" si="10"/>
        <v>0</v>
      </c>
      <c r="AX22" s="133">
        <f t="shared" si="10"/>
        <v>11324.16</v>
      </c>
      <c r="AY22" s="133">
        <f t="shared" si="10"/>
        <v>0</v>
      </c>
      <c r="AZ22" s="133">
        <f t="shared" si="10"/>
        <v>0</v>
      </c>
      <c r="BA22" s="133">
        <f t="shared" si="10"/>
        <v>11324.16</v>
      </c>
      <c r="BB22" s="133">
        <f t="shared" si="10"/>
        <v>0</v>
      </c>
      <c r="BC22" s="133">
        <f t="shared" si="10"/>
        <v>0</v>
      </c>
      <c r="BD22" s="133">
        <f t="shared" si="10"/>
        <v>11324.16</v>
      </c>
      <c r="BE22" s="133">
        <f t="shared" si="10"/>
        <v>0</v>
      </c>
      <c r="BF22" s="133">
        <f t="shared" si="10"/>
        <v>0</v>
      </c>
      <c r="BG22" s="133">
        <f t="shared" si="10"/>
        <v>22648.32</v>
      </c>
      <c r="BH22" s="133">
        <f t="shared" si="10"/>
        <v>0</v>
      </c>
      <c r="BI22" s="133">
        <f t="shared" si="10"/>
        <v>0</v>
      </c>
      <c r="BJ22" s="133">
        <f t="shared" si="10"/>
        <v>11324.16</v>
      </c>
      <c r="BK22" s="133">
        <f t="shared" si="10"/>
        <v>0</v>
      </c>
      <c r="BL22" s="133">
        <f t="shared" si="10"/>
        <v>0</v>
      </c>
      <c r="BM22" s="133">
        <f t="shared" si="10"/>
        <v>11324.16</v>
      </c>
      <c r="BN22" s="133">
        <f t="shared" si="10"/>
        <v>0</v>
      </c>
      <c r="BO22" s="133">
        <f t="shared" si="10"/>
        <v>0</v>
      </c>
      <c r="BP22" s="133">
        <f t="shared" si="10"/>
        <v>11324.16</v>
      </c>
    </row>
    <row r="25" spans="7:68" ht="15" customHeight="1" x14ac:dyDescent="0.2">
      <c r="G25" s="241"/>
      <c r="H25" s="232" t="s">
        <v>302</v>
      </c>
      <c r="I25" s="233" t="s">
        <v>112</v>
      </c>
      <c r="J25" s="233"/>
      <c r="K25" s="233"/>
      <c r="L25" s="233"/>
      <c r="M25" s="233"/>
      <c r="N25" s="233"/>
      <c r="O25" s="233"/>
      <c r="P25" s="233"/>
      <c r="Q25" s="233"/>
      <c r="R25" s="233"/>
      <c r="S25" s="233"/>
      <c r="T25" s="233"/>
      <c r="U25" s="233" t="s">
        <v>113</v>
      </c>
      <c r="V25" s="233"/>
      <c r="W25" s="233"/>
      <c r="X25" s="233"/>
      <c r="Y25" s="233"/>
      <c r="Z25" s="233"/>
      <c r="AA25" s="233"/>
      <c r="AB25" s="233"/>
      <c r="AC25" s="233"/>
      <c r="AD25" s="233"/>
      <c r="AE25" s="233"/>
      <c r="AF25" s="233"/>
      <c r="AG25" s="233" t="s">
        <v>114</v>
      </c>
      <c r="AH25" s="233"/>
      <c r="AI25" s="233"/>
      <c r="AJ25" s="233"/>
      <c r="AK25" s="233"/>
      <c r="AL25" s="233"/>
      <c r="AM25" s="233"/>
      <c r="AN25" s="233"/>
      <c r="AO25" s="233"/>
      <c r="AP25" s="233"/>
      <c r="AQ25" s="233"/>
      <c r="AR25" s="233"/>
      <c r="AS25" s="233" t="s">
        <v>115</v>
      </c>
      <c r="AT25" s="233"/>
      <c r="AU25" s="233"/>
      <c r="AV25" s="233"/>
      <c r="AW25" s="233"/>
      <c r="AX25" s="233"/>
      <c r="AY25" s="233"/>
      <c r="AZ25" s="233"/>
      <c r="BA25" s="233"/>
      <c r="BB25" s="233"/>
      <c r="BC25" s="233"/>
      <c r="BD25" s="233"/>
      <c r="BE25" s="233" t="s">
        <v>116</v>
      </c>
      <c r="BF25" s="233"/>
      <c r="BG25" s="233"/>
      <c r="BH25" s="233"/>
      <c r="BI25" s="233"/>
      <c r="BJ25" s="233"/>
      <c r="BK25" s="233"/>
      <c r="BL25" s="233"/>
      <c r="BM25" s="233"/>
      <c r="BN25" s="233"/>
      <c r="BO25" s="233"/>
      <c r="BP25" s="233"/>
    </row>
    <row r="26" spans="7:68" x14ac:dyDescent="0.2">
      <c r="G26" s="241"/>
      <c r="H26" s="232"/>
      <c r="I26" s="6" t="s">
        <v>145</v>
      </c>
      <c r="J26" s="6" t="s">
        <v>146</v>
      </c>
      <c r="K26" s="6" t="s">
        <v>147</v>
      </c>
      <c r="L26" s="6" t="s">
        <v>148</v>
      </c>
      <c r="M26" s="6" t="s">
        <v>149</v>
      </c>
      <c r="N26" s="6" t="s">
        <v>150</v>
      </c>
      <c r="O26" s="6" t="s">
        <v>151</v>
      </c>
      <c r="P26" s="6" t="s">
        <v>256</v>
      </c>
      <c r="Q26" s="6" t="s">
        <v>153</v>
      </c>
      <c r="R26" s="6" t="s">
        <v>154</v>
      </c>
      <c r="S26" s="6" t="s">
        <v>155</v>
      </c>
      <c r="T26" s="6" t="s">
        <v>257</v>
      </c>
      <c r="U26" s="6" t="s">
        <v>145</v>
      </c>
      <c r="V26" s="6" t="s">
        <v>146</v>
      </c>
      <c r="W26" s="6" t="s">
        <v>147</v>
      </c>
      <c r="X26" s="6" t="s">
        <v>148</v>
      </c>
      <c r="Y26" s="6" t="s">
        <v>149</v>
      </c>
      <c r="Z26" s="6" t="s">
        <v>150</v>
      </c>
      <c r="AA26" s="6" t="s">
        <v>151</v>
      </c>
      <c r="AB26" s="6" t="s">
        <v>256</v>
      </c>
      <c r="AC26" s="6" t="s">
        <v>153</v>
      </c>
      <c r="AD26" s="6" t="s">
        <v>154</v>
      </c>
      <c r="AE26" s="6" t="s">
        <v>155</v>
      </c>
      <c r="AF26" s="6" t="s">
        <v>257</v>
      </c>
      <c r="AG26" s="6" t="s">
        <v>145</v>
      </c>
      <c r="AH26" s="6" t="s">
        <v>146</v>
      </c>
      <c r="AI26" s="6" t="s">
        <v>147</v>
      </c>
      <c r="AJ26" s="6" t="s">
        <v>148</v>
      </c>
      <c r="AK26" s="6" t="s">
        <v>149</v>
      </c>
      <c r="AL26" s="6" t="s">
        <v>150</v>
      </c>
      <c r="AM26" s="6" t="s">
        <v>151</v>
      </c>
      <c r="AN26" s="6" t="s">
        <v>256</v>
      </c>
      <c r="AO26" s="6" t="s">
        <v>153</v>
      </c>
      <c r="AP26" s="6" t="s">
        <v>154</v>
      </c>
      <c r="AQ26" s="6" t="s">
        <v>155</v>
      </c>
      <c r="AR26" s="6" t="s">
        <v>257</v>
      </c>
      <c r="AS26" s="6" t="s">
        <v>145</v>
      </c>
      <c r="AT26" s="6" t="s">
        <v>146</v>
      </c>
      <c r="AU26" s="6" t="s">
        <v>147</v>
      </c>
      <c r="AV26" s="6" t="s">
        <v>148</v>
      </c>
      <c r="AW26" s="6" t="s">
        <v>149</v>
      </c>
      <c r="AX26" s="6" t="s">
        <v>150</v>
      </c>
      <c r="AY26" s="6" t="s">
        <v>151</v>
      </c>
      <c r="AZ26" s="6" t="s">
        <v>256</v>
      </c>
      <c r="BA26" s="6" t="s">
        <v>153</v>
      </c>
      <c r="BB26" s="6" t="s">
        <v>154</v>
      </c>
      <c r="BC26" s="6" t="s">
        <v>155</v>
      </c>
      <c r="BD26" s="6" t="s">
        <v>257</v>
      </c>
      <c r="BE26" s="6" t="s">
        <v>145</v>
      </c>
      <c r="BF26" s="6" t="s">
        <v>146</v>
      </c>
      <c r="BG26" s="6" t="s">
        <v>147</v>
      </c>
      <c r="BH26" s="6" t="s">
        <v>148</v>
      </c>
      <c r="BI26" s="6" t="s">
        <v>149</v>
      </c>
      <c r="BJ26" s="6" t="s">
        <v>150</v>
      </c>
      <c r="BK26" s="6" t="s">
        <v>151</v>
      </c>
      <c r="BL26" s="6" t="s">
        <v>256</v>
      </c>
      <c r="BM26" s="6" t="s">
        <v>153</v>
      </c>
      <c r="BN26" s="6" t="s">
        <v>154</v>
      </c>
      <c r="BO26" s="6" t="s">
        <v>155</v>
      </c>
      <c r="BP26" s="6" t="s">
        <v>257</v>
      </c>
    </row>
    <row r="27" spans="7:68" x14ac:dyDescent="0.2">
      <c r="G27" s="6"/>
      <c r="H27" s="57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  <c r="AX27" s="128"/>
      <c r="AY27" s="128"/>
      <c r="AZ27" s="128"/>
      <c r="BA27" s="128"/>
      <c r="BB27" s="128"/>
      <c r="BC27" s="128"/>
      <c r="BD27" s="128"/>
      <c r="BE27" s="128"/>
      <c r="BF27" s="128"/>
      <c r="BG27" s="128"/>
      <c r="BH27" s="128"/>
      <c r="BI27" s="128"/>
      <c r="BJ27" s="128"/>
      <c r="BK27" s="128"/>
      <c r="BL27" s="128"/>
      <c r="BM27" s="128"/>
      <c r="BN27" s="128"/>
      <c r="BO27" s="128"/>
      <c r="BP27" s="128"/>
    </row>
    <row r="28" spans="7:68" x14ac:dyDescent="0.2">
      <c r="G28" s="11" t="s">
        <v>303</v>
      </c>
      <c r="H28" s="56">
        <v>10</v>
      </c>
      <c r="I28" s="175">
        <f t="shared" ref="I28:AN28" si="11">I21</f>
        <v>0</v>
      </c>
      <c r="J28" s="175">
        <f t="shared" si="11"/>
        <v>0</v>
      </c>
      <c r="K28" s="175">
        <f t="shared" si="11"/>
        <v>0</v>
      </c>
      <c r="L28" s="175">
        <f t="shared" si="11"/>
        <v>0</v>
      </c>
      <c r="M28" s="175">
        <f t="shared" si="11"/>
        <v>0</v>
      </c>
      <c r="N28" s="175">
        <f t="shared" si="11"/>
        <v>0</v>
      </c>
      <c r="O28" s="175">
        <f t="shared" si="11"/>
        <v>0</v>
      </c>
      <c r="P28" s="175">
        <f t="shared" si="11"/>
        <v>0</v>
      </c>
      <c r="Q28" s="175">
        <f t="shared" si="11"/>
        <v>1</v>
      </c>
      <c r="R28" s="175">
        <f t="shared" si="11"/>
        <v>0</v>
      </c>
      <c r="S28" s="175">
        <f t="shared" si="11"/>
        <v>0</v>
      </c>
      <c r="T28" s="175">
        <f t="shared" si="11"/>
        <v>1</v>
      </c>
      <c r="U28" s="175">
        <f t="shared" si="11"/>
        <v>0</v>
      </c>
      <c r="V28" s="175">
        <f t="shared" si="11"/>
        <v>0</v>
      </c>
      <c r="W28" s="175">
        <f t="shared" si="11"/>
        <v>1</v>
      </c>
      <c r="X28" s="175">
        <f t="shared" si="11"/>
        <v>0</v>
      </c>
      <c r="Y28" s="175">
        <f t="shared" si="11"/>
        <v>0</v>
      </c>
      <c r="Z28" s="175">
        <f t="shared" si="11"/>
        <v>1</v>
      </c>
      <c r="AA28" s="175">
        <f t="shared" si="11"/>
        <v>0</v>
      </c>
      <c r="AB28" s="175">
        <f t="shared" si="11"/>
        <v>0</v>
      </c>
      <c r="AC28" s="175">
        <f t="shared" si="11"/>
        <v>1</v>
      </c>
      <c r="AD28" s="175">
        <f t="shared" si="11"/>
        <v>0</v>
      </c>
      <c r="AE28" s="175">
        <f t="shared" si="11"/>
        <v>0</v>
      </c>
      <c r="AF28" s="175">
        <f t="shared" si="11"/>
        <v>1</v>
      </c>
      <c r="AG28" s="175">
        <f t="shared" si="11"/>
        <v>0</v>
      </c>
      <c r="AH28" s="175">
        <f t="shared" si="11"/>
        <v>0</v>
      </c>
      <c r="AI28" s="175">
        <f t="shared" si="11"/>
        <v>1</v>
      </c>
      <c r="AJ28" s="175">
        <f t="shared" si="11"/>
        <v>0</v>
      </c>
      <c r="AK28" s="175">
        <f t="shared" si="11"/>
        <v>0</v>
      </c>
      <c r="AL28" s="175">
        <f t="shared" si="11"/>
        <v>1</v>
      </c>
      <c r="AM28" s="175">
        <f t="shared" si="11"/>
        <v>0</v>
      </c>
      <c r="AN28" s="175">
        <f t="shared" si="11"/>
        <v>0</v>
      </c>
      <c r="AO28" s="175">
        <f t="shared" ref="AO28:BP28" si="12">AO21</f>
        <v>1</v>
      </c>
      <c r="AP28" s="175">
        <f t="shared" si="12"/>
        <v>0</v>
      </c>
      <c r="AQ28" s="175">
        <f t="shared" si="12"/>
        <v>0</v>
      </c>
      <c r="AR28" s="175">
        <f t="shared" si="12"/>
        <v>1</v>
      </c>
      <c r="AS28" s="175">
        <f t="shared" si="12"/>
        <v>0</v>
      </c>
      <c r="AT28" s="175">
        <f t="shared" si="12"/>
        <v>0</v>
      </c>
      <c r="AU28" s="175">
        <f t="shared" si="12"/>
        <v>2</v>
      </c>
      <c r="AV28" s="175">
        <f t="shared" si="12"/>
        <v>0</v>
      </c>
      <c r="AW28" s="175">
        <f t="shared" si="12"/>
        <v>0</v>
      </c>
      <c r="AX28" s="175">
        <f t="shared" si="12"/>
        <v>1</v>
      </c>
      <c r="AY28" s="175">
        <f t="shared" si="12"/>
        <v>0</v>
      </c>
      <c r="AZ28" s="175">
        <f t="shared" si="12"/>
        <v>0</v>
      </c>
      <c r="BA28" s="175">
        <f t="shared" si="12"/>
        <v>1</v>
      </c>
      <c r="BB28" s="175">
        <f t="shared" si="12"/>
        <v>0</v>
      </c>
      <c r="BC28" s="175">
        <f t="shared" si="12"/>
        <v>0</v>
      </c>
      <c r="BD28" s="175">
        <f t="shared" si="12"/>
        <v>1</v>
      </c>
      <c r="BE28" s="175">
        <f t="shared" si="12"/>
        <v>0</v>
      </c>
      <c r="BF28" s="175">
        <f t="shared" si="12"/>
        <v>0</v>
      </c>
      <c r="BG28" s="175">
        <f t="shared" si="12"/>
        <v>2</v>
      </c>
      <c r="BH28" s="175">
        <f t="shared" si="12"/>
        <v>0</v>
      </c>
      <c r="BI28" s="175">
        <f t="shared" si="12"/>
        <v>0</v>
      </c>
      <c r="BJ28" s="175">
        <f t="shared" si="12"/>
        <v>1</v>
      </c>
      <c r="BK28" s="175">
        <f t="shared" si="12"/>
        <v>0</v>
      </c>
      <c r="BL28" s="175">
        <f t="shared" si="12"/>
        <v>0</v>
      </c>
      <c r="BM28" s="175">
        <f t="shared" si="12"/>
        <v>1</v>
      </c>
      <c r="BN28" s="175">
        <f t="shared" si="12"/>
        <v>0</v>
      </c>
      <c r="BO28" s="175">
        <f t="shared" si="12"/>
        <v>0</v>
      </c>
      <c r="BP28" s="175">
        <f t="shared" si="12"/>
        <v>1</v>
      </c>
    </row>
    <row r="29" spans="7:68" x14ac:dyDescent="0.2">
      <c r="G29" s="248" t="s">
        <v>304</v>
      </c>
      <c r="H29" s="248"/>
      <c r="I29" s="133">
        <f t="shared" ref="I29:P29" si="13">$E$10*I28</f>
        <v>0</v>
      </c>
      <c r="J29" s="133">
        <f t="shared" si="13"/>
        <v>0</v>
      </c>
      <c r="K29" s="133">
        <f t="shared" si="13"/>
        <v>0</v>
      </c>
      <c r="L29" s="133">
        <f t="shared" si="13"/>
        <v>0</v>
      </c>
      <c r="M29" s="133">
        <f t="shared" si="13"/>
        <v>0</v>
      </c>
      <c r="N29" s="133">
        <f t="shared" si="13"/>
        <v>0</v>
      </c>
      <c r="O29" s="133">
        <f t="shared" si="13"/>
        <v>0</v>
      </c>
      <c r="P29" s="133">
        <f t="shared" si="13"/>
        <v>0</v>
      </c>
      <c r="Q29" s="133">
        <f>Q14-Q22</f>
        <v>6780.9600000000028</v>
      </c>
      <c r="R29" s="133"/>
      <c r="S29" s="133">
        <f>S14-S22</f>
        <v>0</v>
      </c>
      <c r="T29" s="133"/>
      <c r="U29" s="133">
        <f>U14-U22</f>
        <v>0</v>
      </c>
      <c r="V29" s="133"/>
      <c r="W29" s="133">
        <f>W14-W22</f>
        <v>5942.8799999999992</v>
      </c>
      <c r="X29" s="133"/>
      <c r="Y29" s="133"/>
      <c r="Z29" s="133">
        <f>Z14-Z22</f>
        <v>5942.8799999999992</v>
      </c>
      <c r="AA29" s="133"/>
      <c r="AB29" s="133">
        <f>AB14-AB22</f>
        <v>0</v>
      </c>
      <c r="AC29" s="133"/>
      <c r="AD29" s="133">
        <f>AD14-AD22</f>
        <v>0</v>
      </c>
      <c r="AE29" s="133"/>
      <c r="AF29" s="133"/>
      <c r="AG29" s="133">
        <f>AG14-AG22</f>
        <v>0</v>
      </c>
      <c r="AH29" s="133"/>
      <c r="AI29" s="133">
        <f>AI14-AI22</f>
        <v>5662.0799999999981</v>
      </c>
      <c r="AJ29" s="133"/>
      <c r="AK29" s="133">
        <f>AK14-AK22</f>
        <v>0</v>
      </c>
      <c r="AL29" s="133"/>
      <c r="AM29" s="133"/>
      <c r="AN29" s="133">
        <f>AN14-AN22</f>
        <v>0</v>
      </c>
      <c r="AO29" s="133"/>
      <c r="AP29" s="133">
        <f>AP14-AP22</f>
        <v>0</v>
      </c>
      <c r="AQ29" s="133"/>
      <c r="AR29" s="133"/>
      <c r="AS29" s="133">
        <f t="shared" ref="AS29:BP29" si="14">AS14-AS22</f>
        <v>0</v>
      </c>
      <c r="AT29" s="133">
        <f t="shared" si="14"/>
        <v>0</v>
      </c>
      <c r="AU29" s="133">
        <f t="shared" si="14"/>
        <v>11324.159999999996</v>
      </c>
      <c r="AV29" s="133">
        <f t="shared" si="14"/>
        <v>0</v>
      </c>
      <c r="AW29" s="133">
        <f t="shared" si="14"/>
        <v>0</v>
      </c>
      <c r="AX29" s="133">
        <f t="shared" si="14"/>
        <v>5662.0799999999981</v>
      </c>
      <c r="AY29" s="133">
        <f t="shared" si="14"/>
        <v>0</v>
      </c>
      <c r="AZ29" s="133">
        <f t="shared" si="14"/>
        <v>0</v>
      </c>
      <c r="BA29" s="133">
        <f t="shared" si="14"/>
        <v>5662.0799999999981</v>
      </c>
      <c r="BB29" s="133">
        <f t="shared" si="14"/>
        <v>0</v>
      </c>
      <c r="BC29" s="133">
        <f t="shared" si="14"/>
        <v>0</v>
      </c>
      <c r="BD29" s="133">
        <f t="shared" si="14"/>
        <v>5662.0799999999981</v>
      </c>
      <c r="BE29" s="133">
        <f t="shared" si="14"/>
        <v>0</v>
      </c>
      <c r="BF29" s="133">
        <f t="shared" si="14"/>
        <v>0</v>
      </c>
      <c r="BG29" s="133">
        <f t="shared" si="14"/>
        <v>11324.159999999996</v>
      </c>
      <c r="BH29" s="133">
        <f t="shared" si="14"/>
        <v>0</v>
      </c>
      <c r="BI29" s="133">
        <f t="shared" si="14"/>
        <v>0</v>
      </c>
      <c r="BJ29" s="133">
        <f t="shared" si="14"/>
        <v>5662.0799999999981</v>
      </c>
      <c r="BK29" s="133">
        <f t="shared" si="14"/>
        <v>0</v>
      </c>
      <c r="BL29" s="133">
        <f t="shared" si="14"/>
        <v>0</v>
      </c>
      <c r="BM29" s="133">
        <f t="shared" si="14"/>
        <v>5662.0799999999981</v>
      </c>
      <c r="BN29" s="133">
        <f t="shared" si="14"/>
        <v>0</v>
      </c>
      <c r="BO29" s="133">
        <f t="shared" si="14"/>
        <v>0</v>
      </c>
      <c r="BP29" s="133">
        <f t="shared" si="14"/>
        <v>5662.0799999999981</v>
      </c>
    </row>
    <row r="30" spans="7:68" x14ac:dyDescent="0.2">
      <c r="I30" s="177">
        <f>SUM(I29:T29)</f>
        <v>6780.9600000000028</v>
      </c>
      <c r="U30" s="177">
        <f>SUM(U29:AF29)</f>
        <v>11885.759999999998</v>
      </c>
      <c r="AG30" s="177">
        <f>SUM(AG29:AR29)</f>
        <v>5662.0799999999981</v>
      </c>
      <c r="AS30" s="177">
        <f>SUM(AS29:BD29)</f>
        <v>28310.399999999991</v>
      </c>
      <c r="BE30" s="177">
        <f>SUM(BE29:BP29)</f>
        <v>28310.399999999991</v>
      </c>
    </row>
  </sheetData>
  <mergeCells count="35">
    <mergeCell ref="G2:X2"/>
    <mergeCell ref="G4:G5"/>
    <mergeCell ref="H4:H5"/>
    <mergeCell ref="I4:T4"/>
    <mergeCell ref="U4:AF4"/>
    <mergeCell ref="AG4:AR4"/>
    <mergeCell ref="AS4:BD4"/>
    <mergeCell ref="BE4:BP4"/>
    <mergeCell ref="G7:H7"/>
    <mergeCell ref="G9:X9"/>
    <mergeCell ref="AS11:BD11"/>
    <mergeCell ref="BE11:BP11"/>
    <mergeCell ref="G14:H14"/>
    <mergeCell ref="G16:X16"/>
    <mergeCell ref="G18:G19"/>
    <mergeCell ref="H18:H19"/>
    <mergeCell ref="I18:T18"/>
    <mergeCell ref="U18:AF18"/>
    <mergeCell ref="AG18:AR18"/>
    <mergeCell ref="AS18:BD18"/>
    <mergeCell ref="BE18:BP18"/>
    <mergeCell ref="G11:G12"/>
    <mergeCell ref="H11:H12"/>
    <mergeCell ref="I11:T11"/>
    <mergeCell ref="U11:AF11"/>
    <mergeCell ref="AG11:AR11"/>
    <mergeCell ref="AG25:AR25"/>
    <mergeCell ref="AS25:BD25"/>
    <mergeCell ref="BE25:BP25"/>
    <mergeCell ref="G29:H29"/>
    <mergeCell ref="G22:H22"/>
    <mergeCell ref="G25:G26"/>
    <mergeCell ref="H25:H26"/>
    <mergeCell ref="I25:T25"/>
    <mergeCell ref="U25:AF25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4:G5"/>
  <sheetViews>
    <sheetView zoomScaleNormal="100" workbookViewId="0">
      <selection activeCell="A4" sqref="A4"/>
    </sheetView>
  </sheetViews>
  <sheetFormatPr baseColWidth="10" defaultColWidth="8.83203125" defaultRowHeight="15" x14ac:dyDescent="0.2"/>
  <cols>
    <col min="1" max="1025" width="9.1640625" customWidth="1"/>
  </cols>
  <sheetData>
    <row r="4" spans="1:7" x14ac:dyDescent="0.2">
      <c r="A4" s="147" t="s">
        <v>303</v>
      </c>
      <c r="B4" s="11">
        <v>2</v>
      </c>
      <c r="C4" s="11">
        <v>4</v>
      </c>
      <c r="D4" s="11">
        <v>4</v>
      </c>
      <c r="E4" s="11">
        <v>5</v>
      </c>
      <c r="F4" s="11">
        <v>5</v>
      </c>
      <c r="G4" s="11">
        <f>SUM(B4:F4)</f>
        <v>20</v>
      </c>
    </row>
    <row r="5" spans="1:7" x14ac:dyDescent="0.2">
      <c r="A5" s="178" t="s">
        <v>315</v>
      </c>
      <c r="B5" s="11">
        <v>40686</v>
      </c>
      <c r="C5" s="11">
        <v>71315</v>
      </c>
      <c r="D5" s="11">
        <v>67945</v>
      </c>
      <c r="E5" s="11">
        <v>84931</v>
      </c>
      <c r="F5" s="11">
        <v>84931</v>
      </c>
      <c r="G5" s="11">
        <f>SUM(B5:F5)</f>
        <v>349808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O19"/>
  <sheetViews>
    <sheetView topLeftCell="D1" zoomScaleNormal="100" workbookViewId="0">
      <selection activeCell="F5" sqref="F5"/>
    </sheetView>
  </sheetViews>
  <sheetFormatPr baseColWidth="10" defaultColWidth="8.83203125" defaultRowHeight="15" x14ac:dyDescent="0.2"/>
  <cols>
    <col min="1" max="1" width="14.33203125" customWidth="1"/>
    <col min="2" max="2" width="16.1640625" style="1" customWidth="1"/>
    <col min="3" max="3" width="14" style="1" customWidth="1"/>
    <col min="4" max="4" width="12.33203125" style="1" customWidth="1"/>
    <col min="5" max="5" width="9.1640625" customWidth="1"/>
    <col min="6" max="6" width="20.83203125" customWidth="1"/>
    <col min="7" max="1025" width="9.1640625" customWidth="1"/>
  </cols>
  <sheetData>
    <row r="1" spans="1:67" x14ac:dyDescent="0.2">
      <c r="A1" s="131"/>
      <c r="B1" s="179" t="s">
        <v>316</v>
      </c>
      <c r="C1" s="179" t="s">
        <v>317</v>
      </c>
      <c r="D1" s="179" t="s">
        <v>318</v>
      </c>
      <c r="F1" s="240" t="s">
        <v>273</v>
      </c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</row>
    <row r="2" spans="1:67" x14ac:dyDescent="0.2">
      <c r="A2" s="180" t="s">
        <v>319</v>
      </c>
      <c r="B2" s="6">
        <v>1000</v>
      </c>
      <c r="C2" s="6">
        <f>B2*D2</f>
        <v>250</v>
      </c>
      <c r="D2" s="181">
        <v>0.25</v>
      </c>
      <c r="F2" s="139"/>
      <c r="G2" s="139"/>
      <c r="H2" s="139"/>
      <c r="I2" s="139"/>
      <c r="J2" s="139"/>
      <c r="K2" s="139"/>
      <c r="L2" s="247" t="s">
        <v>274</v>
      </c>
      <c r="M2" s="247"/>
      <c r="N2" s="247"/>
      <c r="O2" s="139"/>
      <c r="P2" s="139"/>
      <c r="Q2" s="139"/>
      <c r="R2" s="139"/>
      <c r="S2" s="139"/>
      <c r="T2" s="139"/>
      <c r="U2" s="139"/>
      <c r="V2" s="139"/>
      <c r="W2" s="139"/>
    </row>
    <row r="3" spans="1:67" x14ac:dyDescent="0.2">
      <c r="A3" s="180" t="s">
        <v>320</v>
      </c>
      <c r="B3" s="6">
        <v>2000</v>
      </c>
      <c r="C3" s="6">
        <f>B3*D3</f>
        <v>400</v>
      </c>
      <c r="D3" s="181">
        <v>0.2</v>
      </c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</row>
    <row r="4" spans="1:67" x14ac:dyDescent="0.2">
      <c r="A4" s="180" t="s">
        <v>321</v>
      </c>
      <c r="B4" s="6">
        <v>5000</v>
      </c>
      <c r="C4" s="6">
        <f>B4*D4</f>
        <v>875</v>
      </c>
      <c r="D4" s="6">
        <v>0.17499999999999999</v>
      </c>
      <c r="F4" s="131"/>
      <c r="G4" s="131"/>
      <c r="H4" s="233" t="s">
        <v>112</v>
      </c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 t="s">
        <v>113</v>
      </c>
      <c r="U4" s="233"/>
      <c r="V4" s="233"/>
      <c r="W4" s="233"/>
      <c r="X4" s="233"/>
      <c r="Y4" s="233"/>
      <c r="Z4" s="233"/>
      <c r="AA4" s="233"/>
      <c r="AB4" s="233"/>
      <c r="AC4" s="233"/>
      <c r="AD4" s="233"/>
      <c r="AE4" s="233"/>
      <c r="AF4" s="233" t="s">
        <v>114</v>
      </c>
      <c r="AG4" s="233"/>
      <c r="AH4" s="233"/>
      <c r="AI4" s="233"/>
      <c r="AJ4" s="233"/>
      <c r="AK4" s="233"/>
      <c r="AL4" s="233"/>
      <c r="AM4" s="233"/>
      <c r="AN4" s="233"/>
      <c r="AO4" s="233"/>
      <c r="AP4" s="233"/>
      <c r="AQ4" s="233"/>
      <c r="AR4" s="233" t="s">
        <v>115</v>
      </c>
      <c r="AS4" s="233"/>
      <c r="AT4" s="233"/>
      <c r="AU4" s="233"/>
      <c r="AV4" s="233"/>
      <c r="AW4" s="233"/>
      <c r="AX4" s="233"/>
      <c r="AY4" s="233"/>
      <c r="AZ4" s="233"/>
      <c r="BA4" s="233"/>
      <c r="BB4" s="233"/>
      <c r="BC4" s="233"/>
      <c r="BD4" s="233" t="s">
        <v>116</v>
      </c>
      <c r="BE4" s="233"/>
      <c r="BF4" s="233"/>
      <c r="BG4" s="233"/>
      <c r="BH4" s="233"/>
      <c r="BI4" s="233"/>
      <c r="BJ4" s="233"/>
      <c r="BK4" s="233"/>
      <c r="BL4" s="233"/>
      <c r="BM4" s="233"/>
      <c r="BN4" s="233"/>
      <c r="BO4" s="233"/>
    </row>
    <row r="5" spans="1:67" ht="64" x14ac:dyDescent="0.2">
      <c r="F5" s="6" t="s">
        <v>278</v>
      </c>
      <c r="G5" s="14" t="s">
        <v>322</v>
      </c>
      <c r="H5" s="6" t="s">
        <v>145</v>
      </c>
      <c r="I5" s="6" t="s">
        <v>146</v>
      </c>
      <c r="J5" s="6" t="s">
        <v>147</v>
      </c>
      <c r="K5" s="6" t="s">
        <v>148</v>
      </c>
      <c r="L5" s="6" t="s">
        <v>149</v>
      </c>
      <c r="M5" s="6" t="s">
        <v>150</v>
      </c>
      <c r="N5" s="6" t="s">
        <v>151</v>
      </c>
      <c r="O5" s="6" t="s">
        <v>256</v>
      </c>
      <c r="P5" s="6" t="s">
        <v>153</v>
      </c>
      <c r="Q5" s="6" t="s">
        <v>154</v>
      </c>
      <c r="R5" s="6" t="s">
        <v>155</v>
      </c>
      <c r="S5" s="6" t="s">
        <v>257</v>
      </c>
      <c r="T5" s="6" t="s">
        <v>145</v>
      </c>
      <c r="U5" s="6" t="s">
        <v>146</v>
      </c>
      <c r="V5" s="6" t="s">
        <v>147</v>
      </c>
      <c r="W5" s="6" t="s">
        <v>148</v>
      </c>
      <c r="X5" s="6" t="s">
        <v>149</v>
      </c>
      <c r="Y5" s="6" t="s">
        <v>150</v>
      </c>
      <c r="Z5" s="6" t="s">
        <v>151</v>
      </c>
      <c r="AA5" s="6" t="s">
        <v>256</v>
      </c>
      <c r="AB5" s="6" t="s">
        <v>153</v>
      </c>
      <c r="AC5" s="6" t="s">
        <v>154</v>
      </c>
      <c r="AD5" s="6" t="s">
        <v>155</v>
      </c>
      <c r="AE5" s="6" t="s">
        <v>257</v>
      </c>
      <c r="AF5" s="6" t="s">
        <v>145</v>
      </c>
      <c r="AG5" s="6" t="s">
        <v>146</v>
      </c>
      <c r="AH5" s="6" t="s">
        <v>147</v>
      </c>
      <c r="AI5" s="6" t="s">
        <v>148</v>
      </c>
      <c r="AJ5" s="6" t="s">
        <v>149</v>
      </c>
      <c r="AK5" s="6" t="s">
        <v>150</v>
      </c>
      <c r="AL5" s="6" t="s">
        <v>151</v>
      </c>
      <c r="AM5" s="6" t="s">
        <v>256</v>
      </c>
      <c r="AN5" s="6" t="s">
        <v>153</v>
      </c>
      <c r="AO5" s="6" t="s">
        <v>154</v>
      </c>
      <c r="AP5" s="6" t="s">
        <v>155</v>
      </c>
      <c r="AQ5" s="6" t="s">
        <v>257</v>
      </c>
      <c r="AR5" s="6" t="s">
        <v>145</v>
      </c>
      <c r="AS5" s="6" t="s">
        <v>146</v>
      </c>
      <c r="AT5" s="6" t="s">
        <v>147</v>
      </c>
      <c r="AU5" s="6" t="s">
        <v>148</v>
      </c>
      <c r="AV5" s="6" t="s">
        <v>149</v>
      </c>
      <c r="AW5" s="6" t="s">
        <v>150</v>
      </c>
      <c r="AX5" s="6" t="s">
        <v>151</v>
      </c>
      <c r="AY5" s="6" t="s">
        <v>256</v>
      </c>
      <c r="AZ5" s="6" t="s">
        <v>153</v>
      </c>
      <c r="BA5" s="6" t="s">
        <v>154</v>
      </c>
      <c r="BB5" s="6" t="s">
        <v>155</v>
      </c>
      <c r="BC5" s="6" t="s">
        <v>257</v>
      </c>
      <c r="BD5" s="6" t="s">
        <v>145</v>
      </c>
      <c r="BE5" s="6" t="s">
        <v>146</v>
      </c>
      <c r="BF5" s="6" t="s">
        <v>147</v>
      </c>
      <c r="BG5" s="6" t="s">
        <v>148</v>
      </c>
      <c r="BH5" s="6" t="s">
        <v>149</v>
      </c>
      <c r="BI5" s="6" t="s">
        <v>150</v>
      </c>
      <c r="BJ5" s="6" t="s">
        <v>151</v>
      </c>
      <c r="BK5" s="6" t="s">
        <v>256</v>
      </c>
      <c r="BL5" s="6" t="s">
        <v>153</v>
      </c>
      <c r="BM5" s="6" t="s">
        <v>154</v>
      </c>
      <c r="BN5" s="6" t="s">
        <v>155</v>
      </c>
      <c r="BO5" s="6" t="s">
        <v>257</v>
      </c>
    </row>
    <row r="6" spans="1:67" x14ac:dyDescent="0.2">
      <c r="F6" s="131" t="s">
        <v>323</v>
      </c>
      <c r="G6" s="131"/>
      <c r="H6" s="182">
        <v>0.1</v>
      </c>
      <c r="I6" s="182">
        <v>0.2</v>
      </c>
      <c r="J6" s="182">
        <v>0.3</v>
      </c>
      <c r="K6" s="182">
        <v>0.5</v>
      </c>
      <c r="L6" s="182">
        <v>0.7</v>
      </c>
      <c r="M6" s="182">
        <v>0.85</v>
      </c>
      <c r="N6" s="182">
        <v>1</v>
      </c>
      <c r="O6" s="182">
        <v>1</v>
      </c>
      <c r="P6" s="182">
        <v>1</v>
      </c>
      <c r="Q6" s="182">
        <v>1</v>
      </c>
      <c r="R6" s="182">
        <v>1</v>
      </c>
      <c r="S6" s="182">
        <v>1</v>
      </c>
      <c r="T6" s="182">
        <v>1.1499999999999999</v>
      </c>
      <c r="U6" s="182">
        <v>1.1499999999999999</v>
      </c>
      <c r="V6" s="182">
        <v>1.1499999999999999</v>
      </c>
      <c r="W6" s="182">
        <v>1.1499999999999999</v>
      </c>
      <c r="X6" s="182">
        <v>1.1499999999999999</v>
      </c>
      <c r="Y6" s="182">
        <v>1.1499999999999999</v>
      </c>
      <c r="Z6" s="182">
        <v>1.1499999999999999</v>
      </c>
      <c r="AA6" s="182">
        <v>1.1499999999999999</v>
      </c>
      <c r="AB6" s="182">
        <v>1.1499999999999999</v>
      </c>
      <c r="AC6" s="182">
        <v>1.1499999999999999</v>
      </c>
      <c r="AD6" s="182">
        <v>1.1499999999999999</v>
      </c>
      <c r="AE6" s="182">
        <v>1.1499999999999999</v>
      </c>
      <c r="AF6" s="182">
        <v>1.3</v>
      </c>
      <c r="AG6" s="182">
        <v>1.3</v>
      </c>
      <c r="AH6" s="182">
        <v>1.3</v>
      </c>
      <c r="AI6" s="182">
        <v>1.3</v>
      </c>
      <c r="AJ6" s="182">
        <v>1.3</v>
      </c>
      <c r="AK6" s="182">
        <v>1.3</v>
      </c>
      <c r="AL6" s="182">
        <v>1.3</v>
      </c>
      <c r="AM6" s="182">
        <v>1.3</v>
      </c>
      <c r="AN6" s="182">
        <v>1.3</v>
      </c>
      <c r="AO6" s="182">
        <v>1.3</v>
      </c>
      <c r="AP6" s="182">
        <v>1.3</v>
      </c>
      <c r="AQ6" s="182">
        <v>1.3</v>
      </c>
      <c r="AR6" s="182">
        <v>1.45</v>
      </c>
      <c r="AS6" s="182">
        <v>1.45</v>
      </c>
      <c r="AT6" s="182">
        <v>1.45</v>
      </c>
      <c r="AU6" s="182">
        <v>1.45</v>
      </c>
      <c r="AV6" s="182">
        <v>1.45</v>
      </c>
      <c r="AW6" s="182">
        <v>1.45</v>
      </c>
      <c r="AX6" s="182">
        <v>1.45</v>
      </c>
      <c r="AY6" s="182">
        <v>1.45</v>
      </c>
      <c r="AZ6" s="182">
        <v>1.45</v>
      </c>
      <c r="BA6" s="182">
        <v>1.45</v>
      </c>
      <c r="BB6" s="182">
        <v>1.45</v>
      </c>
      <c r="BC6" s="182">
        <v>1.45</v>
      </c>
      <c r="BD6" s="182">
        <v>1.6</v>
      </c>
      <c r="BE6" s="182">
        <v>1.6</v>
      </c>
      <c r="BF6" s="182">
        <v>1.6</v>
      </c>
      <c r="BG6" s="182">
        <v>1.6</v>
      </c>
      <c r="BH6" s="182">
        <v>1.6</v>
      </c>
      <c r="BI6" s="182">
        <v>1.6</v>
      </c>
      <c r="BJ6" s="182">
        <v>1.6</v>
      </c>
      <c r="BK6" s="182">
        <v>1.6</v>
      </c>
      <c r="BL6" s="182">
        <v>1.6</v>
      </c>
      <c r="BM6" s="182">
        <v>1.6</v>
      </c>
      <c r="BN6" s="182">
        <v>1.6</v>
      </c>
      <c r="BO6" s="182">
        <v>1.6</v>
      </c>
    </row>
    <row r="7" spans="1:67" x14ac:dyDescent="0.2">
      <c r="F7" s="131" t="str">
        <f>A2</f>
        <v>Abonnement 1</v>
      </c>
      <c r="G7" s="131">
        <v>5</v>
      </c>
      <c r="H7" s="156">
        <f t="shared" ref="H7:AM7" si="0">$G$7*H6</f>
        <v>0.5</v>
      </c>
      <c r="I7" s="156">
        <f t="shared" si="0"/>
        <v>1</v>
      </c>
      <c r="J7" s="156">
        <f t="shared" si="0"/>
        <v>1.5</v>
      </c>
      <c r="K7" s="156">
        <f t="shared" si="0"/>
        <v>2.5</v>
      </c>
      <c r="L7" s="156">
        <f t="shared" si="0"/>
        <v>3.5</v>
      </c>
      <c r="M7" s="156">
        <f t="shared" si="0"/>
        <v>4.25</v>
      </c>
      <c r="N7" s="156">
        <f t="shared" si="0"/>
        <v>5</v>
      </c>
      <c r="O7" s="156">
        <f t="shared" si="0"/>
        <v>5</v>
      </c>
      <c r="P7" s="156">
        <f t="shared" si="0"/>
        <v>5</v>
      </c>
      <c r="Q7" s="156">
        <f t="shared" si="0"/>
        <v>5</v>
      </c>
      <c r="R7" s="156">
        <f t="shared" si="0"/>
        <v>5</v>
      </c>
      <c r="S7" s="156">
        <f t="shared" si="0"/>
        <v>5</v>
      </c>
      <c r="T7" s="156">
        <f t="shared" si="0"/>
        <v>5.75</v>
      </c>
      <c r="U7" s="156">
        <f t="shared" si="0"/>
        <v>5.75</v>
      </c>
      <c r="V7" s="156">
        <f t="shared" si="0"/>
        <v>5.75</v>
      </c>
      <c r="W7" s="156">
        <f t="shared" si="0"/>
        <v>5.75</v>
      </c>
      <c r="X7" s="156">
        <f t="shared" si="0"/>
        <v>5.75</v>
      </c>
      <c r="Y7" s="156">
        <f t="shared" si="0"/>
        <v>5.75</v>
      </c>
      <c r="Z7" s="156">
        <f t="shared" si="0"/>
        <v>5.75</v>
      </c>
      <c r="AA7" s="156">
        <f t="shared" si="0"/>
        <v>5.75</v>
      </c>
      <c r="AB7" s="156">
        <f t="shared" si="0"/>
        <v>5.75</v>
      </c>
      <c r="AC7" s="156">
        <f t="shared" si="0"/>
        <v>5.75</v>
      </c>
      <c r="AD7" s="156">
        <f t="shared" si="0"/>
        <v>5.75</v>
      </c>
      <c r="AE7" s="156">
        <f t="shared" si="0"/>
        <v>5.75</v>
      </c>
      <c r="AF7" s="156">
        <f t="shared" si="0"/>
        <v>6.5</v>
      </c>
      <c r="AG7" s="156">
        <f t="shared" si="0"/>
        <v>6.5</v>
      </c>
      <c r="AH7" s="156">
        <f t="shared" si="0"/>
        <v>6.5</v>
      </c>
      <c r="AI7" s="156">
        <f t="shared" si="0"/>
        <v>6.5</v>
      </c>
      <c r="AJ7" s="156">
        <f t="shared" si="0"/>
        <v>6.5</v>
      </c>
      <c r="AK7" s="156">
        <f t="shared" si="0"/>
        <v>6.5</v>
      </c>
      <c r="AL7" s="156">
        <f t="shared" si="0"/>
        <v>6.5</v>
      </c>
      <c r="AM7" s="156">
        <f t="shared" si="0"/>
        <v>6.5</v>
      </c>
      <c r="AN7" s="156">
        <f t="shared" ref="AN7:BO7" si="1">$G$7*AN6</f>
        <v>6.5</v>
      </c>
      <c r="AO7" s="156">
        <f t="shared" si="1"/>
        <v>6.5</v>
      </c>
      <c r="AP7" s="156">
        <f t="shared" si="1"/>
        <v>6.5</v>
      </c>
      <c r="AQ7" s="156">
        <f t="shared" si="1"/>
        <v>6.5</v>
      </c>
      <c r="AR7" s="156">
        <f t="shared" si="1"/>
        <v>7.25</v>
      </c>
      <c r="AS7" s="156">
        <f t="shared" si="1"/>
        <v>7.25</v>
      </c>
      <c r="AT7" s="156">
        <f t="shared" si="1"/>
        <v>7.25</v>
      </c>
      <c r="AU7" s="156">
        <f t="shared" si="1"/>
        <v>7.25</v>
      </c>
      <c r="AV7" s="156">
        <f t="shared" si="1"/>
        <v>7.25</v>
      </c>
      <c r="AW7" s="156">
        <f t="shared" si="1"/>
        <v>7.25</v>
      </c>
      <c r="AX7" s="156">
        <f t="shared" si="1"/>
        <v>7.25</v>
      </c>
      <c r="AY7" s="156">
        <f t="shared" si="1"/>
        <v>7.25</v>
      </c>
      <c r="AZ7" s="156">
        <f t="shared" si="1"/>
        <v>7.25</v>
      </c>
      <c r="BA7" s="156">
        <f t="shared" si="1"/>
        <v>7.25</v>
      </c>
      <c r="BB7" s="156">
        <f t="shared" si="1"/>
        <v>7.25</v>
      </c>
      <c r="BC7" s="156">
        <f t="shared" si="1"/>
        <v>7.25</v>
      </c>
      <c r="BD7" s="156">
        <f t="shared" si="1"/>
        <v>8</v>
      </c>
      <c r="BE7" s="156">
        <f t="shared" si="1"/>
        <v>8</v>
      </c>
      <c r="BF7" s="156">
        <f t="shared" si="1"/>
        <v>8</v>
      </c>
      <c r="BG7" s="156">
        <f t="shared" si="1"/>
        <v>8</v>
      </c>
      <c r="BH7" s="156">
        <f t="shared" si="1"/>
        <v>8</v>
      </c>
      <c r="BI7" s="156">
        <f t="shared" si="1"/>
        <v>8</v>
      </c>
      <c r="BJ7" s="156">
        <f t="shared" si="1"/>
        <v>8</v>
      </c>
      <c r="BK7" s="156">
        <f t="shared" si="1"/>
        <v>8</v>
      </c>
      <c r="BL7" s="156">
        <f t="shared" si="1"/>
        <v>8</v>
      </c>
      <c r="BM7" s="156">
        <f t="shared" si="1"/>
        <v>8</v>
      </c>
      <c r="BN7" s="156">
        <f t="shared" si="1"/>
        <v>8</v>
      </c>
      <c r="BO7" s="156">
        <f t="shared" si="1"/>
        <v>8</v>
      </c>
    </row>
    <row r="8" spans="1:67" x14ac:dyDescent="0.2">
      <c r="F8" s="131" t="str">
        <f>A3</f>
        <v>Abonnement 2</v>
      </c>
      <c r="G8" s="131">
        <v>3</v>
      </c>
      <c r="H8" s="156">
        <f t="shared" ref="H8:AM8" si="2">$G$8*H6</f>
        <v>0.30000000000000004</v>
      </c>
      <c r="I8" s="156">
        <f t="shared" si="2"/>
        <v>0.60000000000000009</v>
      </c>
      <c r="J8" s="156">
        <f t="shared" si="2"/>
        <v>0.89999999999999991</v>
      </c>
      <c r="K8" s="156">
        <f t="shared" si="2"/>
        <v>1.5</v>
      </c>
      <c r="L8" s="156">
        <f t="shared" si="2"/>
        <v>2.0999999999999996</v>
      </c>
      <c r="M8" s="156">
        <f t="shared" si="2"/>
        <v>2.5499999999999998</v>
      </c>
      <c r="N8" s="156">
        <f t="shared" si="2"/>
        <v>3</v>
      </c>
      <c r="O8" s="156">
        <f t="shared" si="2"/>
        <v>3</v>
      </c>
      <c r="P8" s="156">
        <f t="shared" si="2"/>
        <v>3</v>
      </c>
      <c r="Q8" s="156">
        <f t="shared" si="2"/>
        <v>3</v>
      </c>
      <c r="R8" s="156">
        <f t="shared" si="2"/>
        <v>3</v>
      </c>
      <c r="S8" s="156">
        <f t="shared" si="2"/>
        <v>3</v>
      </c>
      <c r="T8" s="156">
        <f t="shared" si="2"/>
        <v>3.4499999999999997</v>
      </c>
      <c r="U8" s="156">
        <f t="shared" si="2"/>
        <v>3.4499999999999997</v>
      </c>
      <c r="V8" s="156">
        <f t="shared" si="2"/>
        <v>3.4499999999999997</v>
      </c>
      <c r="W8" s="156">
        <f t="shared" si="2"/>
        <v>3.4499999999999997</v>
      </c>
      <c r="X8" s="156">
        <f t="shared" si="2"/>
        <v>3.4499999999999997</v>
      </c>
      <c r="Y8" s="156">
        <f t="shared" si="2"/>
        <v>3.4499999999999997</v>
      </c>
      <c r="Z8" s="156">
        <f t="shared" si="2"/>
        <v>3.4499999999999997</v>
      </c>
      <c r="AA8" s="156">
        <f t="shared" si="2"/>
        <v>3.4499999999999997</v>
      </c>
      <c r="AB8" s="156">
        <f t="shared" si="2"/>
        <v>3.4499999999999997</v>
      </c>
      <c r="AC8" s="156">
        <f t="shared" si="2"/>
        <v>3.4499999999999997</v>
      </c>
      <c r="AD8" s="156">
        <f t="shared" si="2"/>
        <v>3.4499999999999997</v>
      </c>
      <c r="AE8" s="156">
        <f t="shared" si="2"/>
        <v>3.4499999999999997</v>
      </c>
      <c r="AF8" s="156">
        <f t="shared" si="2"/>
        <v>3.9000000000000004</v>
      </c>
      <c r="AG8" s="156">
        <f t="shared" si="2"/>
        <v>3.9000000000000004</v>
      </c>
      <c r="AH8" s="156">
        <f t="shared" si="2"/>
        <v>3.9000000000000004</v>
      </c>
      <c r="AI8" s="156">
        <f t="shared" si="2"/>
        <v>3.9000000000000004</v>
      </c>
      <c r="AJ8" s="156">
        <f t="shared" si="2"/>
        <v>3.9000000000000004</v>
      </c>
      <c r="AK8" s="156">
        <f t="shared" si="2"/>
        <v>3.9000000000000004</v>
      </c>
      <c r="AL8" s="156">
        <f t="shared" si="2"/>
        <v>3.9000000000000004</v>
      </c>
      <c r="AM8" s="156">
        <f t="shared" si="2"/>
        <v>3.9000000000000004</v>
      </c>
      <c r="AN8" s="156">
        <f t="shared" ref="AN8:BO8" si="3">$G$8*AN6</f>
        <v>3.9000000000000004</v>
      </c>
      <c r="AO8" s="156">
        <f t="shared" si="3"/>
        <v>3.9000000000000004</v>
      </c>
      <c r="AP8" s="156">
        <f t="shared" si="3"/>
        <v>3.9000000000000004</v>
      </c>
      <c r="AQ8" s="156">
        <f t="shared" si="3"/>
        <v>3.9000000000000004</v>
      </c>
      <c r="AR8" s="156">
        <f t="shared" si="3"/>
        <v>4.3499999999999996</v>
      </c>
      <c r="AS8" s="156">
        <f t="shared" si="3"/>
        <v>4.3499999999999996</v>
      </c>
      <c r="AT8" s="156">
        <f t="shared" si="3"/>
        <v>4.3499999999999996</v>
      </c>
      <c r="AU8" s="156">
        <f t="shared" si="3"/>
        <v>4.3499999999999996</v>
      </c>
      <c r="AV8" s="156">
        <f t="shared" si="3"/>
        <v>4.3499999999999996</v>
      </c>
      <c r="AW8" s="156">
        <f t="shared" si="3"/>
        <v>4.3499999999999996</v>
      </c>
      <c r="AX8" s="156">
        <f t="shared" si="3"/>
        <v>4.3499999999999996</v>
      </c>
      <c r="AY8" s="156">
        <f t="shared" si="3"/>
        <v>4.3499999999999996</v>
      </c>
      <c r="AZ8" s="156">
        <f t="shared" si="3"/>
        <v>4.3499999999999996</v>
      </c>
      <c r="BA8" s="156">
        <f t="shared" si="3"/>
        <v>4.3499999999999996</v>
      </c>
      <c r="BB8" s="156">
        <f t="shared" si="3"/>
        <v>4.3499999999999996</v>
      </c>
      <c r="BC8" s="156">
        <f t="shared" si="3"/>
        <v>4.3499999999999996</v>
      </c>
      <c r="BD8" s="156">
        <f t="shared" si="3"/>
        <v>4.8000000000000007</v>
      </c>
      <c r="BE8" s="156">
        <f t="shared" si="3"/>
        <v>4.8000000000000007</v>
      </c>
      <c r="BF8" s="156">
        <f t="shared" si="3"/>
        <v>4.8000000000000007</v>
      </c>
      <c r="BG8" s="156">
        <f t="shared" si="3"/>
        <v>4.8000000000000007</v>
      </c>
      <c r="BH8" s="156">
        <f t="shared" si="3"/>
        <v>4.8000000000000007</v>
      </c>
      <c r="BI8" s="156">
        <f t="shared" si="3"/>
        <v>4.8000000000000007</v>
      </c>
      <c r="BJ8" s="156">
        <f t="shared" si="3"/>
        <v>4.8000000000000007</v>
      </c>
      <c r="BK8" s="156">
        <f t="shared" si="3"/>
        <v>4.8000000000000007</v>
      </c>
      <c r="BL8" s="156">
        <f t="shared" si="3"/>
        <v>4.8000000000000007</v>
      </c>
      <c r="BM8" s="156">
        <f t="shared" si="3"/>
        <v>4.8000000000000007</v>
      </c>
      <c r="BN8" s="156">
        <f t="shared" si="3"/>
        <v>4.8000000000000007</v>
      </c>
      <c r="BO8" s="156">
        <f t="shared" si="3"/>
        <v>4.8000000000000007</v>
      </c>
    </row>
    <row r="9" spans="1:67" x14ac:dyDescent="0.2">
      <c r="F9" s="131" t="str">
        <f>A4</f>
        <v>Abonnement 3</v>
      </c>
      <c r="G9" s="131">
        <v>1</v>
      </c>
      <c r="H9" s="156">
        <f t="shared" ref="H9:AM9" si="4">$G$9*H6</f>
        <v>0.1</v>
      </c>
      <c r="I9" s="156">
        <f t="shared" si="4"/>
        <v>0.2</v>
      </c>
      <c r="J9" s="156">
        <f t="shared" si="4"/>
        <v>0.3</v>
      </c>
      <c r="K9" s="156">
        <f t="shared" si="4"/>
        <v>0.5</v>
      </c>
      <c r="L9" s="156">
        <f t="shared" si="4"/>
        <v>0.7</v>
      </c>
      <c r="M9" s="156">
        <f t="shared" si="4"/>
        <v>0.85</v>
      </c>
      <c r="N9" s="156">
        <f t="shared" si="4"/>
        <v>1</v>
      </c>
      <c r="O9" s="156">
        <f t="shared" si="4"/>
        <v>1</v>
      </c>
      <c r="P9" s="156">
        <f t="shared" si="4"/>
        <v>1</v>
      </c>
      <c r="Q9" s="156">
        <f t="shared" si="4"/>
        <v>1</v>
      </c>
      <c r="R9" s="156">
        <f t="shared" si="4"/>
        <v>1</v>
      </c>
      <c r="S9" s="156">
        <f t="shared" si="4"/>
        <v>1</v>
      </c>
      <c r="T9" s="156">
        <f t="shared" si="4"/>
        <v>1.1499999999999999</v>
      </c>
      <c r="U9" s="156">
        <f t="shared" si="4"/>
        <v>1.1499999999999999</v>
      </c>
      <c r="V9" s="156">
        <f t="shared" si="4"/>
        <v>1.1499999999999999</v>
      </c>
      <c r="W9" s="156">
        <f t="shared" si="4"/>
        <v>1.1499999999999999</v>
      </c>
      <c r="X9" s="156">
        <f t="shared" si="4"/>
        <v>1.1499999999999999</v>
      </c>
      <c r="Y9" s="156">
        <f t="shared" si="4"/>
        <v>1.1499999999999999</v>
      </c>
      <c r="Z9" s="156">
        <f t="shared" si="4"/>
        <v>1.1499999999999999</v>
      </c>
      <c r="AA9" s="156">
        <f t="shared" si="4"/>
        <v>1.1499999999999999</v>
      </c>
      <c r="AB9" s="156">
        <f t="shared" si="4"/>
        <v>1.1499999999999999</v>
      </c>
      <c r="AC9" s="156">
        <f t="shared" si="4"/>
        <v>1.1499999999999999</v>
      </c>
      <c r="AD9" s="156">
        <f t="shared" si="4"/>
        <v>1.1499999999999999</v>
      </c>
      <c r="AE9" s="156">
        <f t="shared" si="4"/>
        <v>1.1499999999999999</v>
      </c>
      <c r="AF9" s="156">
        <f t="shared" si="4"/>
        <v>1.3</v>
      </c>
      <c r="AG9" s="156">
        <f t="shared" si="4"/>
        <v>1.3</v>
      </c>
      <c r="AH9" s="156">
        <f t="shared" si="4"/>
        <v>1.3</v>
      </c>
      <c r="AI9" s="156">
        <f t="shared" si="4"/>
        <v>1.3</v>
      </c>
      <c r="AJ9" s="156">
        <f t="shared" si="4"/>
        <v>1.3</v>
      </c>
      <c r="AK9" s="156">
        <f t="shared" si="4"/>
        <v>1.3</v>
      </c>
      <c r="AL9" s="156">
        <f t="shared" si="4"/>
        <v>1.3</v>
      </c>
      <c r="AM9" s="156">
        <f t="shared" si="4"/>
        <v>1.3</v>
      </c>
      <c r="AN9" s="156">
        <f t="shared" ref="AN9:BO9" si="5">$G$9*AN6</f>
        <v>1.3</v>
      </c>
      <c r="AO9" s="156">
        <f t="shared" si="5"/>
        <v>1.3</v>
      </c>
      <c r="AP9" s="156">
        <f t="shared" si="5"/>
        <v>1.3</v>
      </c>
      <c r="AQ9" s="156">
        <f t="shared" si="5"/>
        <v>1.3</v>
      </c>
      <c r="AR9" s="156">
        <f t="shared" si="5"/>
        <v>1.45</v>
      </c>
      <c r="AS9" s="156">
        <f t="shared" si="5"/>
        <v>1.45</v>
      </c>
      <c r="AT9" s="156">
        <f t="shared" si="5"/>
        <v>1.45</v>
      </c>
      <c r="AU9" s="156">
        <f t="shared" si="5"/>
        <v>1.45</v>
      </c>
      <c r="AV9" s="156">
        <f t="shared" si="5"/>
        <v>1.45</v>
      </c>
      <c r="AW9" s="156">
        <f t="shared" si="5"/>
        <v>1.45</v>
      </c>
      <c r="AX9" s="156">
        <f t="shared" si="5"/>
        <v>1.45</v>
      </c>
      <c r="AY9" s="156">
        <f t="shared" si="5"/>
        <v>1.45</v>
      </c>
      <c r="AZ9" s="156">
        <f t="shared" si="5"/>
        <v>1.45</v>
      </c>
      <c r="BA9" s="156">
        <f t="shared" si="5"/>
        <v>1.45</v>
      </c>
      <c r="BB9" s="156">
        <f t="shared" si="5"/>
        <v>1.45</v>
      </c>
      <c r="BC9" s="156">
        <f t="shared" si="5"/>
        <v>1.45</v>
      </c>
      <c r="BD9" s="156">
        <f t="shared" si="5"/>
        <v>1.6</v>
      </c>
      <c r="BE9" s="156">
        <f t="shared" si="5"/>
        <v>1.6</v>
      </c>
      <c r="BF9" s="156">
        <f t="shared" si="5"/>
        <v>1.6</v>
      </c>
      <c r="BG9" s="156">
        <f t="shared" si="5"/>
        <v>1.6</v>
      </c>
      <c r="BH9" s="156">
        <f t="shared" si="5"/>
        <v>1.6</v>
      </c>
      <c r="BI9" s="156">
        <f t="shared" si="5"/>
        <v>1.6</v>
      </c>
      <c r="BJ9" s="156">
        <f t="shared" si="5"/>
        <v>1.6</v>
      </c>
      <c r="BK9" s="156">
        <f t="shared" si="5"/>
        <v>1.6</v>
      </c>
      <c r="BL9" s="156">
        <f t="shared" si="5"/>
        <v>1.6</v>
      </c>
      <c r="BM9" s="156">
        <f t="shared" si="5"/>
        <v>1.6</v>
      </c>
      <c r="BN9" s="156">
        <f t="shared" si="5"/>
        <v>1.6</v>
      </c>
      <c r="BO9" s="156">
        <f t="shared" si="5"/>
        <v>1.6</v>
      </c>
    </row>
    <row r="10" spans="1:67" x14ac:dyDescent="0.2">
      <c r="F10" s="139"/>
      <c r="G10" s="139"/>
      <c r="H10" s="139"/>
    </row>
    <row r="13" spans="1:67" ht="15" customHeight="1" x14ac:dyDescent="0.2">
      <c r="F13" s="224" t="s">
        <v>292</v>
      </c>
      <c r="G13" s="232" t="s">
        <v>279</v>
      </c>
      <c r="H13" s="233" t="s">
        <v>112</v>
      </c>
      <c r="I13" s="233"/>
      <c r="J13" s="233"/>
      <c r="K13" s="233"/>
      <c r="L13" s="233"/>
      <c r="M13" s="233"/>
      <c r="N13" s="233"/>
      <c r="O13" s="233"/>
      <c r="P13" s="233"/>
      <c r="Q13" s="233"/>
      <c r="R13" s="233"/>
      <c r="S13" s="233"/>
      <c r="T13" s="233" t="s">
        <v>113</v>
      </c>
      <c r="U13" s="233"/>
      <c r="V13" s="233"/>
      <c r="W13" s="233"/>
      <c r="X13" s="233"/>
      <c r="Y13" s="233"/>
      <c r="Z13" s="233"/>
      <c r="AA13" s="233"/>
      <c r="AB13" s="233"/>
      <c r="AC13" s="233"/>
      <c r="AD13" s="233"/>
      <c r="AE13" s="233"/>
      <c r="AF13" s="233" t="s">
        <v>114</v>
      </c>
      <c r="AG13" s="233"/>
      <c r="AH13" s="233"/>
      <c r="AI13" s="233"/>
      <c r="AJ13" s="233"/>
      <c r="AK13" s="233"/>
      <c r="AL13" s="233"/>
      <c r="AM13" s="233"/>
      <c r="AN13" s="233"/>
      <c r="AO13" s="233"/>
      <c r="AP13" s="233"/>
      <c r="AQ13" s="233"/>
      <c r="AR13" s="233" t="s">
        <v>115</v>
      </c>
      <c r="AS13" s="233"/>
      <c r="AT13" s="233"/>
      <c r="AU13" s="233"/>
      <c r="AV13" s="233"/>
      <c r="AW13" s="233"/>
      <c r="AX13" s="233"/>
      <c r="AY13" s="233"/>
      <c r="AZ13" s="233"/>
      <c r="BA13" s="233"/>
      <c r="BB13" s="233"/>
      <c r="BC13" s="233"/>
      <c r="BD13" s="233" t="s">
        <v>116</v>
      </c>
      <c r="BE13" s="233"/>
      <c r="BF13" s="233"/>
      <c r="BG13" s="233"/>
      <c r="BH13" s="233"/>
      <c r="BI13" s="233"/>
      <c r="BJ13" s="233"/>
      <c r="BK13" s="233"/>
      <c r="BL13" s="233"/>
      <c r="BM13" s="233"/>
      <c r="BN13" s="233"/>
      <c r="BO13" s="233"/>
    </row>
    <row r="14" spans="1:67" x14ac:dyDescent="0.2">
      <c r="F14" s="224"/>
      <c r="G14" s="232"/>
      <c r="H14" s="6" t="s">
        <v>145</v>
      </c>
      <c r="I14" s="6" t="s">
        <v>146</v>
      </c>
      <c r="J14" s="6" t="s">
        <v>147</v>
      </c>
      <c r="K14" s="6" t="s">
        <v>148</v>
      </c>
      <c r="L14" s="6" t="s">
        <v>149</v>
      </c>
      <c r="M14" s="6" t="s">
        <v>150</v>
      </c>
      <c r="N14" s="6" t="s">
        <v>151</v>
      </c>
      <c r="O14" s="6" t="s">
        <v>256</v>
      </c>
      <c r="P14" s="6" t="s">
        <v>153</v>
      </c>
      <c r="Q14" s="6" t="s">
        <v>154</v>
      </c>
      <c r="R14" s="6" t="s">
        <v>155</v>
      </c>
      <c r="S14" s="6" t="s">
        <v>257</v>
      </c>
      <c r="T14" s="6" t="s">
        <v>145</v>
      </c>
      <c r="U14" s="6" t="s">
        <v>146</v>
      </c>
      <c r="V14" s="6" t="s">
        <v>147</v>
      </c>
      <c r="W14" s="6" t="s">
        <v>148</v>
      </c>
      <c r="X14" s="6" t="s">
        <v>149</v>
      </c>
      <c r="Y14" s="6" t="s">
        <v>150</v>
      </c>
      <c r="Z14" s="6" t="s">
        <v>151</v>
      </c>
      <c r="AA14" s="6" t="s">
        <v>256</v>
      </c>
      <c r="AB14" s="6" t="s">
        <v>153</v>
      </c>
      <c r="AC14" s="6" t="s">
        <v>154</v>
      </c>
      <c r="AD14" s="6" t="s">
        <v>155</v>
      </c>
      <c r="AE14" s="6" t="s">
        <v>257</v>
      </c>
      <c r="AF14" s="6" t="s">
        <v>145</v>
      </c>
      <c r="AG14" s="6" t="s">
        <v>146</v>
      </c>
      <c r="AH14" s="6" t="s">
        <v>147</v>
      </c>
      <c r="AI14" s="6" t="s">
        <v>148</v>
      </c>
      <c r="AJ14" s="6" t="s">
        <v>149</v>
      </c>
      <c r="AK14" s="6" t="s">
        <v>150</v>
      </c>
      <c r="AL14" s="6" t="s">
        <v>151</v>
      </c>
      <c r="AM14" s="6" t="s">
        <v>256</v>
      </c>
      <c r="AN14" s="6" t="s">
        <v>153</v>
      </c>
      <c r="AO14" s="6" t="s">
        <v>154</v>
      </c>
      <c r="AP14" s="6" t="s">
        <v>155</v>
      </c>
      <c r="AQ14" s="6" t="s">
        <v>257</v>
      </c>
      <c r="AR14" s="6" t="s">
        <v>145</v>
      </c>
      <c r="AS14" s="6" t="s">
        <v>146</v>
      </c>
      <c r="AT14" s="6" t="s">
        <v>147</v>
      </c>
      <c r="AU14" s="6" t="s">
        <v>148</v>
      </c>
      <c r="AV14" s="6" t="s">
        <v>149</v>
      </c>
      <c r="AW14" s="6" t="s">
        <v>150</v>
      </c>
      <c r="AX14" s="6" t="s">
        <v>151</v>
      </c>
      <c r="AY14" s="6" t="s">
        <v>256</v>
      </c>
      <c r="AZ14" s="6" t="s">
        <v>153</v>
      </c>
      <c r="BA14" s="6" t="s">
        <v>154</v>
      </c>
      <c r="BB14" s="6" t="s">
        <v>155</v>
      </c>
      <c r="BC14" s="6" t="s">
        <v>257</v>
      </c>
      <c r="BD14" s="6" t="s">
        <v>145</v>
      </c>
      <c r="BE14" s="6" t="s">
        <v>146</v>
      </c>
      <c r="BF14" s="6" t="s">
        <v>147</v>
      </c>
      <c r="BG14" s="6" t="s">
        <v>148</v>
      </c>
      <c r="BH14" s="6" t="s">
        <v>149</v>
      </c>
      <c r="BI14" s="6" t="s">
        <v>150</v>
      </c>
      <c r="BJ14" s="6" t="s">
        <v>151</v>
      </c>
      <c r="BK14" s="6" t="s">
        <v>256</v>
      </c>
      <c r="BL14" s="6" t="s">
        <v>153</v>
      </c>
      <c r="BM14" s="6" t="s">
        <v>154</v>
      </c>
      <c r="BN14" s="6" t="s">
        <v>155</v>
      </c>
      <c r="BO14" s="6" t="s">
        <v>257</v>
      </c>
    </row>
    <row r="15" spans="1:67" x14ac:dyDescent="0.2">
      <c r="F15" s="131" t="str">
        <f t="shared" ref="F15:G17" si="6">F7</f>
        <v>Abonnement 1</v>
      </c>
      <c r="G15" s="131">
        <f t="shared" si="6"/>
        <v>5</v>
      </c>
      <c r="H15" s="156">
        <f>H7*C2</f>
        <v>125</v>
      </c>
      <c r="I15" s="156">
        <f>I7*C2</f>
        <v>250</v>
      </c>
      <c r="J15" s="156">
        <f>J7*C2</f>
        <v>375</v>
      </c>
      <c r="K15" s="156">
        <f>K7*C2</f>
        <v>625</v>
      </c>
      <c r="L15" s="156">
        <f>L7*C2</f>
        <v>875</v>
      </c>
      <c r="M15" s="156">
        <f>M7*C2</f>
        <v>1062.5</v>
      </c>
      <c r="N15" s="156">
        <f>N7*C2</f>
        <v>1250</v>
      </c>
      <c r="O15" s="156">
        <f>O7*C2</f>
        <v>1250</v>
      </c>
      <c r="P15" s="156">
        <f>P7*C2</f>
        <v>1250</v>
      </c>
      <c r="Q15" s="156">
        <f>Q7*C2</f>
        <v>1250</v>
      </c>
      <c r="R15" s="156">
        <f>R7*C2</f>
        <v>1250</v>
      </c>
      <c r="S15" s="156">
        <f>S7*C2</f>
        <v>1250</v>
      </c>
      <c r="T15" s="156">
        <f>T7*C2</f>
        <v>1437.5</v>
      </c>
      <c r="U15" s="156">
        <f>U7*C2</f>
        <v>1437.5</v>
      </c>
      <c r="V15" s="156">
        <f>V7*C2</f>
        <v>1437.5</v>
      </c>
      <c r="W15" s="156">
        <f>W7*C2</f>
        <v>1437.5</v>
      </c>
      <c r="X15" s="156">
        <f>X7*C2</f>
        <v>1437.5</v>
      </c>
      <c r="Y15" s="156">
        <f>Y7*C2</f>
        <v>1437.5</v>
      </c>
      <c r="Z15" s="156">
        <f>Z7*C2</f>
        <v>1437.5</v>
      </c>
      <c r="AA15" s="156">
        <f>AA7*C2</f>
        <v>1437.5</v>
      </c>
      <c r="AB15" s="156">
        <f>AB7*C2</f>
        <v>1437.5</v>
      </c>
      <c r="AC15" s="156">
        <f>AC7*C2</f>
        <v>1437.5</v>
      </c>
      <c r="AD15" s="156">
        <f>AD7*C2</f>
        <v>1437.5</v>
      </c>
      <c r="AE15" s="156">
        <f>AE7*C2</f>
        <v>1437.5</v>
      </c>
      <c r="AF15" s="156">
        <f>AF7*C2</f>
        <v>1625</v>
      </c>
      <c r="AG15" s="156">
        <f>AG7*C2</f>
        <v>1625</v>
      </c>
      <c r="AH15" s="156">
        <f>AH7*C2</f>
        <v>1625</v>
      </c>
      <c r="AI15" s="156">
        <f>AI7*C2</f>
        <v>1625</v>
      </c>
      <c r="AJ15" s="156">
        <f>AJ7*C2</f>
        <v>1625</v>
      </c>
      <c r="AK15" s="156">
        <f>AK7*C2</f>
        <v>1625</v>
      </c>
      <c r="AL15" s="156">
        <f>AL7*C2</f>
        <v>1625</v>
      </c>
      <c r="AM15" s="156">
        <f>AM7*C2</f>
        <v>1625</v>
      </c>
      <c r="AN15" s="156">
        <f>AN7*C2</f>
        <v>1625</v>
      </c>
      <c r="AO15" s="156">
        <f>AO7*C2</f>
        <v>1625</v>
      </c>
      <c r="AP15" s="156">
        <f>AP7*C2</f>
        <v>1625</v>
      </c>
      <c r="AQ15" s="156">
        <f>AQ7*C2</f>
        <v>1625</v>
      </c>
      <c r="AR15" s="156">
        <f>AR7*C2</f>
        <v>1812.5</v>
      </c>
      <c r="AS15" s="156">
        <f>AS7*C2</f>
        <v>1812.5</v>
      </c>
      <c r="AT15" s="156">
        <f>+AT7*C2</f>
        <v>1812.5</v>
      </c>
      <c r="AU15" s="156">
        <f>AU7*C2</f>
        <v>1812.5</v>
      </c>
      <c r="AV15" s="156">
        <f>AV7*C2</f>
        <v>1812.5</v>
      </c>
      <c r="AW15" s="156">
        <f>AW7*C2</f>
        <v>1812.5</v>
      </c>
      <c r="AX15" s="156">
        <f>AX7*C2</f>
        <v>1812.5</v>
      </c>
      <c r="AY15" s="156">
        <f>AY7*C2</f>
        <v>1812.5</v>
      </c>
      <c r="AZ15" s="156">
        <f>AZ7*C2</f>
        <v>1812.5</v>
      </c>
      <c r="BA15" s="156">
        <f>BA7*C2</f>
        <v>1812.5</v>
      </c>
      <c r="BB15" s="156">
        <f>BB7*C2</f>
        <v>1812.5</v>
      </c>
      <c r="BC15" s="156">
        <f>BC7*C2</f>
        <v>1812.5</v>
      </c>
      <c r="BD15" s="156">
        <f>BD7*C2</f>
        <v>2000</v>
      </c>
      <c r="BE15" s="156">
        <f>BE7*C2</f>
        <v>2000</v>
      </c>
      <c r="BF15" s="156">
        <f>BF7*C2</f>
        <v>2000</v>
      </c>
      <c r="BG15" s="156">
        <f>BG7*C2</f>
        <v>2000</v>
      </c>
      <c r="BH15" s="156">
        <f>BH7*C2</f>
        <v>2000</v>
      </c>
      <c r="BI15" s="156">
        <f>BI7*C2</f>
        <v>2000</v>
      </c>
      <c r="BJ15" s="156">
        <f>BJ7*C2</f>
        <v>2000</v>
      </c>
      <c r="BK15" s="156">
        <f>BK7*C2</f>
        <v>2000</v>
      </c>
      <c r="BL15" s="156">
        <f>BL7*C2</f>
        <v>2000</v>
      </c>
      <c r="BM15" s="156">
        <f>+BM7*C2</f>
        <v>2000</v>
      </c>
      <c r="BN15" s="156">
        <f>BN7*C2</f>
        <v>2000</v>
      </c>
      <c r="BO15" s="156">
        <f>BO7*C2</f>
        <v>2000</v>
      </c>
    </row>
    <row r="16" spans="1:67" x14ac:dyDescent="0.2">
      <c r="F16" s="131" t="str">
        <f t="shared" si="6"/>
        <v>Abonnement 2</v>
      </c>
      <c r="G16" s="131">
        <f t="shared" si="6"/>
        <v>3</v>
      </c>
      <c r="H16" s="156">
        <f>H8*C3</f>
        <v>120.00000000000001</v>
      </c>
      <c r="I16" s="156">
        <f>I8*C3</f>
        <v>240.00000000000003</v>
      </c>
      <c r="J16" s="156">
        <f>J8*C3</f>
        <v>359.99999999999994</v>
      </c>
      <c r="K16" s="156">
        <f>K8*C3</f>
        <v>600</v>
      </c>
      <c r="L16" s="156">
        <f>L8*C3</f>
        <v>839.99999999999989</v>
      </c>
      <c r="M16" s="156">
        <f>M8*C3</f>
        <v>1019.9999999999999</v>
      </c>
      <c r="N16" s="156">
        <f>N8*C3</f>
        <v>1200</v>
      </c>
      <c r="O16" s="156">
        <f>O8*C3</f>
        <v>1200</v>
      </c>
      <c r="P16" s="156">
        <f>P8*C3</f>
        <v>1200</v>
      </c>
      <c r="Q16" s="156">
        <f>Q8*C3</f>
        <v>1200</v>
      </c>
      <c r="R16" s="156">
        <f>R8*C3</f>
        <v>1200</v>
      </c>
      <c r="S16" s="156">
        <f>S8*C3</f>
        <v>1200</v>
      </c>
      <c r="T16" s="156">
        <f>T8*C3</f>
        <v>1380</v>
      </c>
      <c r="U16" s="156">
        <f>U8*C3</f>
        <v>1380</v>
      </c>
      <c r="V16" s="156">
        <f>V8*C3</f>
        <v>1380</v>
      </c>
      <c r="W16" s="156">
        <f>W8*C3</f>
        <v>1380</v>
      </c>
      <c r="X16" s="156">
        <f>X8*C3</f>
        <v>1380</v>
      </c>
      <c r="Y16" s="156">
        <f>Y8*C3</f>
        <v>1380</v>
      </c>
      <c r="Z16" s="156">
        <f>Z8*C3</f>
        <v>1380</v>
      </c>
      <c r="AA16" s="156">
        <f>AA8*C3</f>
        <v>1380</v>
      </c>
      <c r="AB16" s="156">
        <f>AB8*C3</f>
        <v>1380</v>
      </c>
      <c r="AC16" s="156">
        <f>AC8*C3</f>
        <v>1380</v>
      </c>
      <c r="AD16" s="156">
        <f>AD8*C3</f>
        <v>1380</v>
      </c>
      <c r="AE16" s="156">
        <f>AE8*C3</f>
        <v>1380</v>
      </c>
      <c r="AF16" s="156">
        <f>AF8*C3</f>
        <v>1560.0000000000002</v>
      </c>
      <c r="AG16" s="156">
        <f>AG8*C3</f>
        <v>1560.0000000000002</v>
      </c>
      <c r="AH16" s="156">
        <f>AH8*C3</f>
        <v>1560.0000000000002</v>
      </c>
      <c r="AI16" s="156">
        <f>AI8*C3</f>
        <v>1560.0000000000002</v>
      </c>
      <c r="AJ16" s="156">
        <f>AJ8*C3</f>
        <v>1560.0000000000002</v>
      </c>
      <c r="AK16" s="156">
        <f>AK8*C3</f>
        <v>1560.0000000000002</v>
      </c>
      <c r="AL16" s="156">
        <f>AL8*C3</f>
        <v>1560.0000000000002</v>
      </c>
      <c r="AM16" s="156">
        <f>AM8*C3</f>
        <v>1560.0000000000002</v>
      </c>
      <c r="AN16" s="156">
        <f>AN8*C3</f>
        <v>1560.0000000000002</v>
      </c>
      <c r="AO16" s="156">
        <f>AO8*C3</f>
        <v>1560.0000000000002</v>
      </c>
      <c r="AP16" s="156">
        <f>AP8*C3</f>
        <v>1560.0000000000002</v>
      </c>
      <c r="AQ16" s="156">
        <f>AQ8*C3</f>
        <v>1560.0000000000002</v>
      </c>
      <c r="AR16" s="156">
        <f>AR8*C3</f>
        <v>1739.9999999999998</v>
      </c>
      <c r="AS16" s="156">
        <f>AS8*C3</f>
        <v>1739.9999999999998</v>
      </c>
      <c r="AT16" s="156">
        <f>+AT8*C3</f>
        <v>1739.9999999999998</v>
      </c>
      <c r="AU16" s="156">
        <f>AU8*C3</f>
        <v>1739.9999999999998</v>
      </c>
      <c r="AV16" s="156">
        <f>AV8*C3</f>
        <v>1739.9999999999998</v>
      </c>
      <c r="AW16" s="156">
        <f>AW8*C3</f>
        <v>1739.9999999999998</v>
      </c>
      <c r="AX16" s="156">
        <f>AX8*C3</f>
        <v>1739.9999999999998</v>
      </c>
      <c r="AY16" s="156">
        <f>AY8*C3</f>
        <v>1739.9999999999998</v>
      </c>
      <c r="AZ16" s="156">
        <f>AZ8*C3</f>
        <v>1739.9999999999998</v>
      </c>
      <c r="BA16" s="156">
        <f>BA8*C3</f>
        <v>1739.9999999999998</v>
      </c>
      <c r="BB16" s="156">
        <f>BB8*C3</f>
        <v>1739.9999999999998</v>
      </c>
      <c r="BC16" s="156">
        <f>BC8*C3</f>
        <v>1739.9999999999998</v>
      </c>
      <c r="BD16" s="156">
        <f>BD8*C3</f>
        <v>1920.0000000000002</v>
      </c>
      <c r="BE16" s="156">
        <f>BE8*C3</f>
        <v>1920.0000000000002</v>
      </c>
      <c r="BF16" s="156">
        <f>BF8*C3</f>
        <v>1920.0000000000002</v>
      </c>
      <c r="BG16" s="156">
        <f>BG8*C3</f>
        <v>1920.0000000000002</v>
      </c>
      <c r="BH16" s="156">
        <f>BH8*C3</f>
        <v>1920.0000000000002</v>
      </c>
      <c r="BI16" s="156">
        <f>BI8*C3</f>
        <v>1920.0000000000002</v>
      </c>
      <c r="BJ16" s="156">
        <f>BJ8*C3</f>
        <v>1920.0000000000002</v>
      </c>
      <c r="BK16" s="156">
        <f>BK8*C3</f>
        <v>1920.0000000000002</v>
      </c>
      <c r="BL16" s="156">
        <f>BL8*C3</f>
        <v>1920.0000000000002</v>
      </c>
      <c r="BM16" s="156">
        <f>+BM8*C3</f>
        <v>1920.0000000000002</v>
      </c>
      <c r="BN16" s="156">
        <f>BN8*C3</f>
        <v>1920.0000000000002</v>
      </c>
      <c r="BO16" s="156">
        <f>BO8*C3</f>
        <v>1920.0000000000002</v>
      </c>
    </row>
    <row r="17" spans="6:67" x14ac:dyDescent="0.2">
      <c r="F17" s="131" t="str">
        <f t="shared" si="6"/>
        <v>Abonnement 3</v>
      </c>
      <c r="G17" s="131">
        <f t="shared" si="6"/>
        <v>1</v>
      </c>
      <c r="H17" s="156">
        <f>H9*C4</f>
        <v>87.5</v>
      </c>
      <c r="I17" s="156">
        <f>I9*C4</f>
        <v>175</v>
      </c>
      <c r="J17" s="156">
        <f>J9*C4</f>
        <v>262.5</v>
      </c>
      <c r="K17" s="156">
        <f>K9*C4</f>
        <v>437.5</v>
      </c>
      <c r="L17" s="156">
        <f>L9*C4</f>
        <v>612.5</v>
      </c>
      <c r="M17" s="156">
        <f>M9*C4</f>
        <v>743.75</v>
      </c>
      <c r="N17" s="156">
        <f>N9*C4</f>
        <v>875</v>
      </c>
      <c r="O17" s="156">
        <f>O9*C4</f>
        <v>875</v>
      </c>
      <c r="P17" s="156">
        <f>P9*C4</f>
        <v>875</v>
      </c>
      <c r="Q17" s="156">
        <f>Q9*C4</f>
        <v>875</v>
      </c>
      <c r="R17" s="156">
        <f>R9*C4</f>
        <v>875</v>
      </c>
      <c r="S17" s="156">
        <f>S9*C4</f>
        <v>875</v>
      </c>
      <c r="T17" s="156">
        <f>T9*C4</f>
        <v>1006.2499999999999</v>
      </c>
      <c r="U17" s="156">
        <f>U9*C4</f>
        <v>1006.2499999999999</v>
      </c>
      <c r="V17" s="156">
        <f>V9*C4</f>
        <v>1006.2499999999999</v>
      </c>
      <c r="W17" s="156">
        <f>W9*C4</f>
        <v>1006.2499999999999</v>
      </c>
      <c r="X17" s="156">
        <f>X9*C4</f>
        <v>1006.2499999999999</v>
      </c>
      <c r="Y17" s="156">
        <f>Y9*C4</f>
        <v>1006.2499999999999</v>
      </c>
      <c r="Z17" s="156">
        <f>Z9*C4</f>
        <v>1006.2499999999999</v>
      </c>
      <c r="AA17" s="156">
        <f>AA9*C4</f>
        <v>1006.2499999999999</v>
      </c>
      <c r="AB17" s="156">
        <f>AB9*C4</f>
        <v>1006.2499999999999</v>
      </c>
      <c r="AC17" s="156">
        <f>AC9*C4</f>
        <v>1006.2499999999999</v>
      </c>
      <c r="AD17" s="156">
        <f>AD9*C4</f>
        <v>1006.2499999999999</v>
      </c>
      <c r="AE17" s="156">
        <f>AE9*C4</f>
        <v>1006.2499999999999</v>
      </c>
      <c r="AF17" s="156">
        <f>AF9*C4</f>
        <v>1137.5</v>
      </c>
      <c r="AG17" s="156">
        <f>AG9*C4</f>
        <v>1137.5</v>
      </c>
      <c r="AH17" s="156">
        <f>AH9*C4</f>
        <v>1137.5</v>
      </c>
      <c r="AI17" s="156">
        <f>AI9*C4</f>
        <v>1137.5</v>
      </c>
      <c r="AJ17" s="156">
        <f>AJ9*C4</f>
        <v>1137.5</v>
      </c>
      <c r="AK17" s="156">
        <f>AK9*C4</f>
        <v>1137.5</v>
      </c>
      <c r="AL17" s="156">
        <f>AL9*C4</f>
        <v>1137.5</v>
      </c>
      <c r="AM17" s="156">
        <f>AM9*C4</f>
        <v>1137.5</v>
      </c>
      <c r="AN17" s="156">
        <f>AN9*C4</f>
        <v>1137.5</v>
      </c>
      <c r="AO17" s="156">
        <f>AO9*C4</f>
        <v>1137.5</v>
      </c>
      <c r="AP17" s="156">
        <f>AP9*C4</f>
        <v>1137.5</v>
      </c>
      <c r="AQ17" s="156">
        <f>AQ9*C4</f>
        <v>1137.5</v>
      </c>
      <c r="AR17" s="156">
        <f>AR9*C4</f>
        <v>1268.75</v>
      </c>
      <c r="AS17" s="156">
        <f>AS9*C4</f>
        <v>1268.75</v>
      </c>
      <c r="AT17" s="156">
        <f>+AT9*C4</f>
        <v>1268.75</v>
      </c>
      <c r="AU17" s="156">
        <f>AU9*C4</f>
        <v>1268.75</v>
      </c>
      <c r="AV17" s="156">
        <f>AV9*C4</f>
        <v>1268.75</v>
      </c>
      <c r="AW17" s="156">
        <f>AW9*C4</f>
        <v>1268.75</v>
      </c>
      <c r="AX17" s="156">
        <f>AX9*C4</f>
        <v>1268.75</v>
      </c>
      <c r="AY17" s="156">
        <f>AY9*C4</f>
        <v>1268.75</v>
      </c>
      <c r="AZ17" s="156">
        <f>AZ9*C4</f>
        <v>1268.75</v>
      </c>
      <c r="BA17" s="156">
        <f>BA9*C4</f>
        <v>1268.75</v>
      </c>
      <c r="BB17" s="156">
        <f>BB9*C4</f>
        <v>1268.75</v>
      </c>
      <c r="BC17" s="156">
        <f>BC9*C4</f>
        <v>1268.75</v>
      </c>
      <c r="BD17" s="156">
        <f>BD9*C4</f>
        <v>1400</v>
      </c>
      <c r="BE17" s="156">
        <f>BE9*C4</f>
        <v>1400</v>
      </c>
      <c r="BF17" s="156">
        <f>BF9*C4</f>
        <v>1400</v>
      </c>
      <c r="BG17" s="156">
        <f>BG9*C4</f>
        <v>1400</v>
      </c>
      <c r="BH17" s="156">
        <f>BH9*C4</f>
        <v>1400</v>
      </c>
      <c r="BI17" s="156">
        <f>BI9*C4</f>
        <v>1400</v>
      </c>
      <c r="BJ17" s="156">
        <f>BJ9*C4</f>
        <v>1400</v>
      </c>
      <c r="BK17" s="156">
        <f>BK9*C4</f>
        <v>1400</v>
      </c>
      <c r="BL17" s="156">
        <f>BL9*C4</f>
        <v>1400</v>
      </c>
      <c r="BM17" s="156">
        <f>+BM9*C4</f>
        <v>1400</v>
      </c>
      <c r="BN17" s="156">
        <f>BN9*C4</f>
        <v>1400</v>
      </c>
      <c r="BO17" s="156">
        <f>BO9*C4</f>
        <v>1400</v>
      </c>
    </row>
    <row r="18" spans="6:67" x14ac:dyDescent="0.2">
      <c r="F18" s="236" t="s">
        <v>293</v>
      </c>
      <c r="G18" s="236"/>
      <c r="H18" s="133">
        <f t="shared" ref="H18:AM18" si="7">SUM(H15:H17)</f>
        <v>332.5</v>
      </c>
      <c r="I18" s="133">
        <f t="shared" si="7"/>
        <v>665</v>
      </c>
      <c r="J18" s="133">
        <f t="shared" si="7"/>
        <v>997.5</v>
      </c>
      <c r="K18" s="133">
        <f t="shared" si="7"/>
        <v>1662.5</v>
      </c>
      <c r="L18" s="133">
        <f t="shared" si="7"/>
        <v>2327.5</v>
      </c>
      <c r="M18" s="133">
        <f t="shared" si="7"/>
        <v>2826.25</v>
      </c>
      <c r="N18" s="133">
        <f t="shared" si="7"/>
        <v>3325</v>
      </c>
      <c r="O18" s="133">
        <f t="shared" si="7"/>
        <v>3325</v>
      </c>
      <c r="P18" s="133">
        <f t="shared" si="7"/>
        <v>3325</v>
      </c>
      <c r="Q18" s="133">
        <f t="shared" si="7"/>
        <v>3325</v>
      </c>
      <c r="R18" s="133">
        <f t="shared" si="7"/>
        <v>3325</v>
      </c>
      <c r="S18" s="133">
        <f t="shared" si="7"/>
        <v>3325</v>
      </c>
      <c r="T18" s="133">
        <f t="shared" si="7"/>
        <v>3823.75</v>
      </c>
      <c r="U18" s="133">
        <f t="shared" si="7"/>
        <v>3823.75</v>
      </c>
      <c r="V18" s="133">
        <f t="shared" si="7"/>
        <v>3823.75</v>
      </c>
      <c r="W18" s="133">
        <f t="shared" si="7"/>
        <v>3823.75</v>
      </c>
      <c r="X18" s="133">
        <f t="shared" si="7"/>
        <v>3823.75</v>
      </c>
      <c r="Y18" s="133">
        <f t="shared" si="7"/>
        <v>3823.75</v>
      </c>
      <c r="Z18" s="133">
        <f t="shared" si="7"/>
        <v>3823.75</v>
      </c>
      <c r="AA18" s="133">
        <f t="shared" si="7"/>
        <v>3823.75</v>
      </c>
      <c r="AB18" s="133">
        <f t="shared" si="7"/>
        <v>3823.75</v>
      </c>
      <c r="AC18" s="133">
        <f t="shared" si="7"/>
        <v>3823.75</v>
      </c>
      <c r="AD18" s="133">
        <f t="shared" si="7"/>
        <v>3823.75</v>
      </c>
      <c r="AE18" s="133">
        <f t="shared" si="7"/>
        <v>3823.75</v>
      </c>
      <c r="AF18" s="133">
        <f t="shared" si="7"/>
        <v>4322.5</v>
      </c>
      <c r="AG18" s="133">
        <f t="shared" si="7"/>
        <v>4322.5</v>
      </c>
      <c r="AH18" s="133">
        <f t="shared" si="7"/>
        <v>4322.5</v>
      </c>
      <c r="AI18" s="133">
        <f t="shared" si="7"/>
        <v>4322.5</v>
      </c>
      <c r="AJ18" s="133">
        <f t="shared" si="7"/>
        <v>4322.5</v>
      </c>
      <c r="AK18" s="133">
        <f t="shared" si="7"/>
        <v>4322.5</v>
      </c>
      <c r="AL18" s="133">
        <f t="shared" si="7"/>
        <v>4322.5</v>
      </c>
      <c r="AM18" s="133">
        <f t="shared" si="7"/>
        <v>4322.5</v>
      </c>
      <c r="AN18" s="133">
        <f t="shared" ref="AN18:BO18" si="8">SUM(AN15:AN17)</f>
        <v>4322.5</v>
      </c>
      <c r="AO18" s="133">
        <f t="shared" si="8"/>
        <v>4322.5</v>
      </c>
      <c r="AP18" s="133">
        <f t="shared" si="8"/>
        <v>4322.5</v>
      </c>
      <c r="AQ18" s="133">
        <f t="shared" si="8"/>
        <v>4322.5</v>
      </c>
      <c r="AR18" s="133">
        <f t="shared" si="8"/>
        <v>4821.25</v>
      </c>
      <c r="AS18" s="133">
        <f t="shared" si="8"/>
        <v>4821.25</v>
      </c>
      <c r="AT18" s="133">
        <f t="shared" si="8"/>
        <v>4821.25</v>
      </c>
      <c r="AU18" s="133">
        <f t="shared" si="8"/>
        <v>4821.25</v>
      </c>
      <c r="AV18" s="133">
        <f t="shared" si="8"/>
        <v>4821.25</v>
      </c>
      <c r="AW18" s="133">
        <f t="shared" si="8"/>
        <v>4821.25</v>
      </c>
      <c r="AX18" s="133">
        <f t="shared" si="8"/>
        <v>4821.25</v>
      </c>
      <c r="AY18" s="133">
        <f t="shared" si="8"/>
        <v>4821.25</v>
      </c>
      <c r="AZ18" s="133">
        <f t="shared" si="8"/>
        <v>4821.25</v>
      </c>
      <c r="BA18" s="133">
        <f t="shared" si="8"/>
        <v>4821.25</v>
      </c>
      <c r="BB18" s="133">
        <f t="shared" si="8"/>
        <v>4821.25</v>
      </c>
      <c r="BC18" s="133">
        <f t="shared" si="8"/>
        <v>4821.25</v>
      </c>
      <c r="BD18" s="133">
        <f t="shared" si="8"/>
        <v>5320</v>
      </c>
      <c r="BE18" s="133">
        <f t="shared" si="8"/>
        <v>5320</v>
      </c>
      <c r="BF18" s="133">
        <f t="shared" si="8"/>
        <v>5320</v>
      </c>
      <c r="BG18" s="133">
        <f t="shared" si="8"/>
        <v>5320</v>
      </c>
      <c r="BH18" s="133">
        <f t="shared" si="8"/>
        <v>5320</v>
      </c>
      <c r="BI18" s="133">
        <f t="shared" si="8"/>
        <v>5320</v>
      </c>
      <c r="BJ18" s="133">
        <f t="shared" si="8"/>
        <v>5320</v>
      </c>
      <c r="BK18" s="133">
        <f t="shared" si="8"/>
        <v>5320</v>
      </c>
      <c r="BL18" s="133">
        <f t="shared" si="8"/>
        <v>5320</v>
      </c>
      <c r="BM18" s="133">
        <f t="shared" si="8"/>
        <v>5320</v>
      </c>
      <c r="BN18" s="133">
        <f t="shared" si="8"/>
        <v>5320</v>
      </c>
      <c r="BO18" s="133">
        <f t="shared" si="8"/>
        <v>5320</v>
      </c>
    </row>
    <row r="19" spans="6:67" x14ac:dyDescent="0.2">
      <c r="F19" t="s">
        <v>294</v>
      </c>
      <c r="H19" s="157">
        <f>SUM(H18:S18)</f>
        <v>28761.25</v>
      </c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9"/>
      <c r="T19" s="160">
        <f>SUM(T18:AE18)</f>
        <v>45885</v>
      </c>
      <c r="U19" s="161"/>
      <c r="V19" s="161"/>
      <c r="W19" s="161"/>
      <c r="X19" s="161"/>
      <c r="Y19" s="161"/>
      <c r="Z19" s="161"/>
      <c r="AA19" s="161"/>
      <c r="AB19" s="161"/>
      <c r="AC19" s="161"/>
      <c r="AD19" s="161"/>
      <c r="AE19" s="161"/>
      <c r="AF19" s="162">
        <f>SUM(AF18:AQ18)</f>
        <v>51870</v>
      </c>
      <c r="AG19" s="163"/>
      <c r="AH19" s="163"/>
      <c r="AI19" s="163"/>
      <c r="AJ19" s="163"/>
      <c r="AK19" s="163"/>
      <c r="AL19" s="163"/>
      <c r="AM19" s="163"/>
      <c r="AN19" s="163"/>
      <c r="AO19" s="163"/>
      <c r="AP19" s="163"/>
      <c r="AQ19" s="164"/>
      <c r="AR19" s="165">
        <f>SUM(AR18:BC18)</f>
        <v>57855</v>
      </c>
      <c r="AS19" s="166"/>
      <c r="AT19" s="166"/>
      <c r="AU19" s="166"/>
      <c r="AV19" s="166"/>
      <c r="AW19" s="166"/>
      <c r="AX19" s="166"/>
      <c r="AY19" s="166"/>
      <c r="AZ19" s="166"/>
      <c r="BA19" s="166"/>
      <c r="BB19" s="166"/>
      <c r="BC19" s="166"/>
      <c r="BD19" s="160">
        <f>SUM(BD18:BO18)</f>
        <v>63840</v>
      </c>
      <c r="BE19" s="161"/>
      <c r="BF19" s="161"/>
      <c r="BG19" s="161"/>
      <c r="BH19" s="161"/>
      <c r="BI19" s="161"/>
      <c r="BJ19" s="161"/>
      <c r="BK19" s="161"/>
      <c r="BL19" s="161"/>
      <c r="BM19" s="161"/>
      <c r="BN19" s="161"/>
      <c r="BO19" s="161"/>
    </row>
  </sheetData>
  <mergeCells count="15">
    <mergeCell ref="F1:W1"/>
    <mergeCell ref="L2:N2"/>
    <mergeCell ref="H4:S4"/>
    <mergeCell ref="T4:AE4"/>
    <mergeCell ref="AF4:AQ4"/>
    <mergeCell ref="F18:G18"/>
    <mergeCell ref="AR4:BC4"/>
    <mergeCell ref="BD4:BO4"/>
    <mergeCell ref="F13:F14"/>
    <mergeCell ref="G13:G14"/>
    <mergeCell ref="H13:S13"/>
    <mergeCell ref="T13:AE13"/>
    <mergeCell ref="AF13:AQ13"/>
    <mergeCell ref="AR13:BC13"/>
    <mergeCell ref="BD13:BO1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6"/>
  <sheetViews>
    <sheetView zoomScaleNormal="100" workbookViewId="0">
      <selection activeCell="A2" sqref="A2"/>
    </sheetView>
  </sheetViews>
  <sheetFormatPr baseColWidth="10" defaultColWidth="8.83203125" defaultRowHeight="15" x14ac:dyDescent="0.2"/>
  <cols>
    <col min="1" max="1025" width="9.1640625" customWidth="1"/>
  </cols>
  <sheetData>
    <row r="1" spans="1:7" x14ac:dyDescent="0.2">
      <c r="C1" s="16"/>
      <c r="D1" s="16"/>
      <c r="E1" s="16"/>
      <c r="F1" s="16"/>
      <c r="G1" s="16"/>
    </row>
    <row r="2" spans="1:7" ht="64" x14ac:dyDescent="0.2">
      <c r="A2" s="14" t="s">
        <v>292</v>
      </c>
      <c r="B2" s="14" t="s">
        <v>279</v>
      </c>
      <c r="C2" s="14" t="s">
        <v>112</v>
      </c>
      <c r="D2" s="14" t="s">
        <v>113</v>
      </c>
      <c r="E2" s="14" t="s">
        <v>114</v>
      </c>
      <c r="F2" s="14" t="s">
        <v>115</v>
      </c>
      <c r="G2" s="14" t="s">
        <v>116</v>
      </c>
    </row>
    <row r="3" spans="1:7" ht="32" x14ac:dyDescent="0.2">
      <c r="A3" s="14" t="s">
        <v>319</v>
      </c>
      <c r="B3" s="14">
        <v>5</v>
      </c>
      <c r="C3" s="14">
        <v>10813</v>
      </c>
      <c r="D3" s="14">
        <v>17250</v>
      </c>
      <c r="E3" s="14">
        <v>19500</v>
      </c>
      <c r="F3" s="14">
        <v>21750</v>
      </c>
      <c r="G3" s="14">
        <v>24000</v>
      </c>
    </row>
    <row r="4" spans="1:7" ht="32" x14ac:dyDescent="0.2">
      <c r="A4" s="14" t="s">
        <v>320</v>
      </c>
      <c r="B4" s="14">
        <v>3</v>
      </c>
      <c r="C4" s="14">
        <v>10380</v>
      </c>
      <c r="D4" s="14">
        <v>16560</v>
      </c>
      <c r="E4" s="14">
        <v>18720</v>
      </c>
      <c r="F4" s="14">
        <v>20880</v>
      </c>
      <c r="G4" s="14">
        <v>23040</v>
      </c>
    </row>
    <row r="5" spans="1:7" ht="32" x14ac:dyDescent="0.2">
      <c r="A5" s="14" t="s">
        <v>321</v>
      </c>
      <c r="B5" s="14">
        <v>1</v>
      </c>
      <c r="C5" s="14">
        <v>7569</v>
      </c>
      <c r="D5" s="14">
        <v>12075</v>
      </c>
      <c r="E5" s="14">
        <v>13650</v>
      </c>
      <c r="F5" s="14">
        <v>15225</v>
      </c>
      <c r="G5" s="14">
        <v>16800</v>
      </c>
    </row>
    <row r="6" spans="1:7" ht="30" customHeight="1" x14ac:dyDescent="0.2">
      <c r="A6" s="232" t="s">
        <v>293</v>
      </c>
      <c r="B6" s="232"/>
      <c r="C6" s="14">
        <f>SUM(C3:C5)</f>
        <v>28762</v>
      </c>
      <c r="D6" s="14">
        <f>SUM(D3:D5)</f>
        <v>45885</v>
      </c>
      <c r="E6" s="14">
        <f>SUM(E3:E5)</f>
        <v>51870</v>
      </c>
      <c r="F6" s="14">
        <f>SUM(F3:F5)</f>
        <v>57855</v>
      </c>
      <c r="G6" s="14">
        <f>SUM(G3:G5)</f>
        <v>63840</v>
      </c>
    </row>
  </sheetData>
  <mergeCells count="1">
    <mergeCell ref="A6:B6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Y52"/>
  <sheetViews>
    <sheetView topLeftCell="A4" zoomScaleNormal="100" workbookViewId="0">
      <selection activeCell="G52" sqref="G52"/>
    </sheetView>
  </sheetViews>
  <sheetFormatPr baseColWidth="10" defaultColWidth="8.83203125" defaultRowHeight="15" x14ac:dyDescent="0.2"/>
  <cols>
    <col min="1" max="1" width="40.6640625" customWidth="1"/>
    <col min="2" max="2" width="9.1640625" style="1" customWidth="1"/>
    <col min="3" max="5" width="12" style="1" customWidth="1"/>
    <col min="6" max="7" width="13.6640625" style="1" customWidth="1"/>
    <col min="8" max="8" width="9.1640625" style="1" customWidth="1"/>
    <col min="9" max="9" width="16.5" style="1" customWidth="1"/>
    <col min="10" max="10" width="13" style="1" customWidth="1"/>
    <col min="11" max="11" width="9.1640625" style="1" customWidth="1"/>
    <col min="12" max="12" width="13" style="1" customWidth="1"/>
    <col min="13" max="13" width="9.1640625" style="1" customWidth="1"/>
    <col min="14" max="14" width="12" style="1" customWidth="1"/>
    <col min="15" max="15" width="13.33203125" style="1" customWidth="1"/>
    <col min="16" max="16" width="13.6640625" style="1" customWidth="1"/>
    <col min="17" max="17" width="9.1640625" style="1" customWidth="1"/>
    <col min="18" max="18" width="16" style="1" customWidth="1"/>
    <col min="19" max="19" width="16.5" style="1" customWidth="1"/>
    <col min="20" max="20" width="9.1640625" style="1" customWidth="1"/>
    <col min="21" max="21" width="10.6640625" style="1" customWidth="1"/>
    <col min="22" max="22" width="9.1640625" style="1" customWidth="1"/>
    <col min="23" max="23" width="12" style="1" customWidth="1"/>
    <col min="24" max="24" width="11.5" style="1"/>
    <col min="25" max="25" width="13.6640625" style="1" customWidth="1"/>
    <col min="26" max="26" width="9.1640625" style="1" customWidth="1"/>
    <col min="27" max="27" width="16.83203125" style="1" customWidth="1"/>
    <col min="28" max="28" width="16.5" style="1" customWidth="1"/>
    <col min="29" max="29" width="8.33203125" style="1" customWidth="1"/>
    <col min="30" max="30" width="10.5" style="1" customWidth="1"/>
    <col min="31" max="31" width="9.1640625" style="1" customWidth="1"/>
    <col min="32" max="32" width="12" style="1" customWidth="1"/>
    <col min="33" max="33" width="11.83203125" style="1" customWidth="1"/>
    <col min="34" max="34" width="13.6640625" style="1" customWidth="1"/>
    <col min="35" max="35" width="9.1640625" style="1" customWidth="1"/>
    <col min="36" max="36" width="16" style="1" customWidth="1"/>
    <col min="37" max="37" width="16.5" style="1" customWidth="1"/>
    <col min="38" max="38" width="9.1640625" style="1" customWidth="1"/>
    <col min="39" max="39" width="11.33203125" style="1" customWidth="1"/>
    <col min="40" max="40" width="9.1640625" style="1" customWidth="1"/>
    <col min="41" max="41" width="12" style="1" customWidth="1"/>
    <col min="42" max="42" width="11.33203125" style="1" customWidth="1"/>
    <col min="43" max="43" width="13.6640625" style="1" customWidth="1"/>
    <col min="44" max="44" width="9.1640625" style="1" customWidth="1"/>
    <col min="45" max="45" width="14.5" style="1" customWidth="1"/>
    <col min="46" max="46" width="16.5" style="1" customWidth="1"/>
    <col min="47" max="47" width="13.5" style="1" customWidth="1"/>
    <col min="48" max="48" width="15.33203125" style="1" customWidth="1"/>
    <col min="49" max="49" width="20" customWidth="1"/>
    <col min="50" max="50" width="18.1640625" style="1" customWidth="1"/>
    <col min="51" max="1025" width="9.1640625" customWidth="1"/>
  </cols>
  <sheetData>
    <row r="1" spans="1:51" s="20" customFormat="1" x14ac:dyDescent="0.2">
      <c r="A1" s="218" t="s">
        <v>0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M1" s="218"/>
      <c r="AN1" s="218"/>
      <c r="AO1" s="218"/>
      <c r="AP1" s="218"/>
      <c r="AQ1" s="218"/>
      <c r="AR1" s="218"/>
      <c r="AS1" s="218"/>
      <c r="AT1" s="218"/>
      <c r="AU1" s="218"/>
      <c r="AV1" s="218"/>
      <c r="AW1" s="218"/>
      <c r="AX1" s="218"/>
    </row>
    <row r="2" spans="1:51" s="4" customFormat="1" ht="30" customHeight="1" x14ac:dyDescent="0.2">
      <c r="A2" s="4" t="s">
        <v>1</v>
      </c>
      <c r="B2" s="216" t="s">
        <v>2</v>
      </c>
      <c r="C2" s="216"/>
      <c r="D2" s="216"/>
      <c r="E2" s="216"/>
      <c r="F2" s="216"/>
      <c r="G2" s="216"/>
      <c r="H2" s="216"/>
      <c r="I2" s="216"/>
      <c r="J2" s="216"/>
      <c r="K2" s="216" t="s">
        <v>3</v>
      </c>
      <c r="L2" s="216"/>
      <c r="M2" s="216"/>
      <c r="N2" s="216"/>
      <c r="O2" s="216"/>
      <c r="P2" s="216"/>
      <c r="Q2" s="216"/>
      <c r="R2" s="216"/>
      <c r="T2" s="216" t="s">
        <v>4</v>
      </c>
      <c r="U2" s="216"/>
      <c r="V2" s="216"/>
      <c r="W2" s="216"/>
      <c r="X2" s="216"/>
      <c r="Y2" s="216"/>
      <c r="Z2" s="216"/>
      <c r="AA2" s="216"/>
      <c r="AC2" s="216" t="s">
        <v>5</v>
      </c>
      <c r="AD2" s="216"/>
      <c r="AE2" s="216"/>
      <c r="AF2" s="216"/>
      <c r="AG2" s="216"/>
      <c r="AH2" s="216"/>
      <c r="AI2" s="216"/>
      <c r="AJ2" s="216"/>
      <c r="AL2" s="216" t="s">
        <v>6</v>
      </c>
      <c r="AM2" s="216"/>
      <c r="AN2" s="216"/>
      <c r="AO2" s="216"/>
      <c r="AP2" s="216"/>
      <c r="AQ2" s="216"/>
      <c r="AR2" s="216"/>
      <c r="AS2" s="216"/>
      <c r="AU2" s="4" t="s">
        <v>7</v>
      </c>
      <c r="AV2" s="4" t="s">
        <v>8</v>
      </c>
      <c r="AW2" s="4" t="s">
        <v>9</v>
      </c>
      <c r="AX2" s="4" t="s">
        <v>10</v>
      </c>
    </row>
    <row r="3" spans="1:51" s="4" customFormat="1" ht="32" x14ac:dyDescent="0.2">
      <c r="B3" s="4" t="s">
        <v>41</v>
      </c>
      <c r="C3" s="4" t="s">
        <v>42</v>
      </c>
      <c r="D3" s="4" t="s">
        <v>43</v>
      </c>
      <c r="E3" s="4" t="s">
        <v>44</v>
      </c>
      <c r="F3" s="4" t="s">
        <v>45</v>
      </c>
      <c r="G3" s="4" t="s">
        <v>46</v>
      </c>
      <c r="H3" s="4" t="s">
        <v>47</v>
      </c>
      <c r="I3" s="4" t="s">
        <v>48</v>
      </c>
      <c r="J3" s="4" t="s">
        <v>49</v>
      </c>
      <c r="K3" s="4" t="s">
        <v>41</v>
      </c>
      <c r="L3" s="4" t="s">
        <v>42</v>
      </c>
      <c r="M3" s="4" t="s">
        <v>43</v>
      </c>
      <c r="N3" s="4" t="s">
        <v>44</v>
      </c>
      <c r="O3" s="4" t="s">
        <v>45</v>
      </c>
      <c r="P3" s="4" t="s">
        <v>46</v>
      </c>
      <c r="Q3" s="4" t="s">
        <v>47</v>
      </c>
      <c r="R3" s="4" t="s">
        <v>48</v>
      </c>
      <c r="S3" s="4" t="s">
        <v>49</v>
      </c>
      <c r="T3" s="4" t="s">
        <v>41</v>
      </c>
      <c r="U3" s="4" t="s">
        <v>42</v>
      </c>
      <c r="V3" s="4" t="s">
        <v>43</v>
      </c>
      <c r="W3" s="4" t="s">
        <v>44</v>
      </c>
      <c r="X3" s="4" t="s">
        <v>45</v>
      </c>
      <c r="Y3" s="4" t="s">
        <v>46</v>
      </c>
      <c r="Z3" s="4" t="s">
        <v>47</v>
      </c>
      <c r="AA3" s="4" t="s">
        <v>48</v>
      </c>
      <c r="AB3" s="4" t="s">
        <v>49</v>
      </c>
      <c r="AC3" s="4" t="s">
        <v>41</v>
      </c>
      <c r="AD3" s="4" t="s">
        <v>42</v>
      </c>
      <c r="AE3" s="4" t="s">
        <v>43</v>
      </c>
      <c r="AF3" s="4" t="s">
        <v>44</v>
      </c>
      <c r="AG3" s="4" t="s">
        <v>45</v>
      </c>
      <c r="AH3" s="4" t="s">
        <v>46</v>
      </c>
      <c r="AI3" s="4" t="s">
        <v>47</v>
      </c>
      <c r="AJ3" s="4" t="s">
        <v>48</v>
      </c>
      <c r="AK3" s="4" t="s">
        <v>49</v>
      </c>
      <c r="AL3" s="4" t="s">
        <v>41</v>
      </c>
      <c r="AM3" s="4" t="s">
        <v>42</v>
      </c>
      <c r="AN3" s="4" t="s">
        <v>43</v>
      </c>
      <c r="AO3" s="4" t="s">
        <v>44</v>
      </c>
      <c r="AP3" s="4" t="s">
        <v>45</v>
      </c>
      <c r="AQ3" s="4" t="s">
        <v>46</v>
      </c>
      <c r="AR3" s="4" t="s">
        <v>47</v>
      </c>
      <c r="AS3" s="4" t="s">
        <v>48</v>
      </c>
      <c r="AT3" s="4" t="s">
        <v>49</v>
      </c>
    </row>
    <row r="4" spans="1:51" x14ac:dyDescent="0.2">
      <c r="A4" s="8" t="s">
        <v>11</v>
      </c>
      <c r="B4" s="1">
        <f>'Evolution RH en nombre'!B3</f>
        <v>1</v>
      </c>
      <c r="C4" s="1">
        <v>1</v>
      </c>
      <c r="D4" s="1">
        <v>1</v>
      </c>
      <c r="E4" s="1">
        <v>0</v>
      </c>
      <c r="F4" s="1">
        <v>1</v>
      </c>
      <c r="G4" s="1">
        <v>0</v>
      </c>
      <c r="H4" s="1">
        <v>0</v>
      </c>
      <c r="I4" s="1">
        <v>1</v>
      </c>
      <c r="J4" s="1">
        <v>0</v>
      </c>
      <c r="K4" s="1">
        <f>'Evolution RH en nombre'!C3</f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f>'Evolution RH en nombre'!D3</f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f>'Evolution RH en nombre'!E3</f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f>'Evolution RH en nombre'!F3</f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W4" s="1">
        <f>'Evolution RH en nombre'!I3</f>
        <v>4000</v>
      </c>
      <c r="AX4" s="1">
        <f>'Evolution RH en nombre'!J3</f>
        <v>5400</v>
      </c>
    </row>
    <row r="5" spans="1:51" x14ac:dyDescent="0.2">
      <c r="A5" s="8" t="s">
        <v>12</v>
      </c>
      <c r="B5" s="1">
        <f>'Evolution RH en nombre'!B4</f>
        <v>1</v>
      </c>
      <c r="C5" s="1">
        <v>1</v>
      </c>
      <c r="D5" s="1">
        <v>1</v>
      </c>
      <c r="E5" s="1">
        <v>0</v>
      </c>
      <c r="F5" s="1">
        <v>1</v>
      </c>
      <c r="G5" s="1">
        <v>0</v>
      </c>
      <c r="H5" s="1">
        <v>0</v>
      </c>
      <c r="I5" s="1">
        <v>1</v>
      </c>
      <c r="J5" s="1">
        <v>0</v>
      </c>
      <c r="K5" s="1">
        <f>'Evolution RH en nombre'!C4</f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f>'Evolution RH en nombre'!D4</f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f>'Evolution RH en nombre'!E4</f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f>'Evolution RH en nombre'!F4</f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W5" s="1">
        <f>'Evolution RH en nombre'!I4</f>
        <v>800</v>
      </c>
      <c r="AX5" s="1">
        <f>'Evolution RH en nombre'!J4</f>
        <v>1080</v>
      </c>
    </row>
    <row r="6" spans="1:51" x14ac:dyDescent="0.2">
      <c r="A6" s="8" t="s">
        <v>13</v>
      </c>
      <c r="B6" s="1">
        <f>'Evolution RH en nombre'!B5</f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f>'Evolution RH en nombre'!D5</f>
        <v>1</v>
      </c>
      <c r="U6" s="1">
        <v>1</v>
      </c>
      <c r="V6" s="1">
        <v>1</v>
      </c>
      <c r="W6" s="1">
        <v>0</v>
      </c>
      <c r="X6" s="1">
        <v>1</v>
      </c>
      <c r="Y6" s="1">
        <v>0</v>
      </c>
      <c r="Z6" s="1">
        <v>0</v>
      </c>
      <c r="AA6" s="1">
        <v>1</v>
      </c>
      <c r="AB6" s="1">
        <v>0</v>
      </c>
      <c r="AC6" s="1">
        <f>'Evolution RH en nombre'!E5</f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f>'Evolution RH en nombre'!F5</f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W6" s="1">
        <f>'Evolution RH en nombre'!I5</f>
        <v>3000</v>
      </c>
      <c r="AX6" s="1">
        <f>'Evolution RH en nombre'!J5</f>
        <v>4050.0000000000005</v>
      </c>
    </row>
    <row r="7" spans="1:51" x14ac:dyDescent="0.2">
      <c r="A7" s="8" t="s">
        <v>14</v>
      </c>
      <c r="B7" s="1">
        <f>'Evolution RH en nombre'!B6</f>
        <v>1</v>
      </c>
      <c r="C7" s="1">
        <v>1</v>
      </c>
      <c r="D7" s="1">
        <v>1</v>
      </c>
      <c r="E7" s="1">
        <v>0</v>
      </c>
      <c r="F7" s="1">
        <v>0</v>
      </c>
      <c r="G7" s="1">
        <v>0</v>
      </c>
      <c r="H7" s="1">
        <v>0</v>
      </c>
      <c r="I7" s="1">
        <v>1</v>
      </c>
      <c r="J7" s="1">
        <v>0</v>
      </c>
      <c r="K7" s="1">
        <f>'Evolution RH en nombre'!C6</f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f>'Evolution RH en nombre'!D6</f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f>'Evolution RH en nombre'!E6</f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f>'Evolution RH en nombre'!F6</f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W7" s="1">
        <f>'Evolution RH en nombre'!I6</f>
        <v>1700</v>
      </c>
      <c r="AX7" s="1">
        <f>'Evolution RH en nombre'!J6</f>
        <v>2295</v>
      </c>
    </row>
    <row r="8" spans="1:51" s="20" customFormat="1" x14ac:dyDescent="0.2">
      <c r="A8" s="21" t="s">
        <v>15</v>
      </c>
      <c r="B8" s="21">
        <f t="shared" ref="B8:AT8" si="0">SUM(B4:B7)</f>
        <v>3</v>
      </c>
      <c r="C8" s="21">
        <f t="shared" si="0"/>
        <v>3</v>
      </c>
      <c r="D8" s="21">
        <f t="shared" si="0"/>
        <v>3</v>
      </c>
      <c r="E8" s="21">
        <f t="shared" si="0"/>
        <v>0</v>
      </c>
      <c r="F8" s="21">
        <f t="shared" si="0"/>
        <v>2</v>
      </c>
      <c r="G8" s="21">
        <f t="shared" si="0"/>
        <v>0</v>
      </c>
      <c r="H8" s="21">
        <f t="shared" si="0"/>
        <v>0</v>
      </c>
      <c r="I8" s="21">
        <f t="shared" si="0"/>
        <v>3</v>
      </c>
      <c r="J8" s="21">
        <f t="shared" si="0"/>
        <v>0</v>
      </c>
      <c r="K8" s="21">
        <f t="shared" si="0"/>
        <v>0</v>
      </c>
      <c r="L8" s="21">
        <f t="shared" si="0"/>
        <v>0</v>
      </c>
      <c r="M8" s="21">
        <f t="shared" si="0"/>
        <v>0</v>
      </c>
      <c r="N8" s="21">
        <f t="shared" si="0"/>
        <v>0</v>
      </c>
      <c r="O8" s="21">
        <f t="shared" si="0"/>
        <v>0</v>
      </c>
      <c r="P8" s="21">
        <f t="shared" si="0"/>
        <v>0</v>
      </c>
      <c r="Q8" s="21">
        <f t="shared" si="0"/>
        <v>0</v>
      </c>
      <c r="R8" s="21">
        <f t="shared" si="0"/>
        <v>0</v>
      </c>
      <c r="S8" s="21">
        <f t="shared" si="0"/>
        <v>0</v>
      </c>
      <c r="T8" s="21">
        <f t="shared" si="0"/>
        <v>1</v>
      </c>
      <c r="U8" s="21">
        <f t="shared" si="0"/>
        <v>1</v>
      </c>
      <c r="V8" s="21">
        <f t="shared" si="0"/>
        <v>1</v>
      </c>
      <c r="W8" s="21">
        <f t="shared" si="0"/>
        <v>0</v>
      </c>
      <c r="X8" s="21">
        <f t="shared" si="0"/>
        <v>1</v>
      </c>
      <c r="Y8" s="21">
        <f t="shared" si="0"/>
        <v>0</v>
      </c>
      <c r="Z8" s="21">
        <f t="shared" si="0"/>
        <v>0</v>
      </c>
      <c r="AA8" s="21">
        <f t="shared" si="0"/>
        <v>1</v>
      </c>
      <c r="AB8" s="21">
        <f t="shared" si="0"/>
        <v>0</v>
      </c>
      <c r="AC8" s="21">
        <f t="shared" si="0"/>
        <v>0</v>
      </c>
      <c r="AD8" s="21">
        <f t="shared" si="0"/>
        <v>0</v>
      </c>
      <c r="AE8" s="21">
        <f t="shared" si="0"/>
        <v>0</v>
      </c>
      <c r="AF8" s="21">
        <f t="shared" si="0"/>
        <v>0</v>
      </c>
      <c r="AG8" s="21">
        <f t="shared" si="0"/>
        <v>0</v>
      </c>
      <c r="AH8" s="21">
        <f t="shared" si="0"/>
        <v>0</v>
      </c>
      <c r="AI8" s="21">
        <f t="shared" si="0"/>
        <v>0</v>
      </c>
      <c r="AJ8" s="21">
        <f t="shared" si="0"/>
        <v>0</v>
      </c>
      <c r="AK8" s="21">
        <f t="shared" si="0"/>
        <v>0</v>
      </c>
      <c r="AL8" s="21">
        <f t="shared" si="0"/>
        <v>0</v>
      </c>
      <c r="AM8" s="21">
        <f t="shared" si="0"/>
        <v>0</v>
      </c>
      <c r="AN8" s="21">
        <f t="shared" si="0"/>
        <v>0</v>
      </c>
      <c r="AO8" s="21">
        <f t="shared" si="0"/>
        <v>0</v>
      </c>
      <c r="AP8" s="21">
        <f t="shared" si="0"/>
        <v>0</v>
      </c>
      <c r="AQ8" s="21">
        <f t="shared" si="0"/>
        <v>0</v>
      </c>
      <c r="AR8" s="21">
        <f t="shared" si="0"/>
        <v>0</v>
      </c>
      <c r="AS8" s="21">
        <f t="shared" si="0"/>
        <v>0</v>
      </c>
      <c r="AT8" s="21">
        <f t="shared" si="0"/>
        <v>0</v>
      </c>
      <c r="AU8" s="21"/>
      <c r="AV8" s="21"/>
      <c r="AW8" s="21">
        <f>SUM(AW4:AW7)</f>
        <v>9500</v>
      </c>
      <c r="AX8" s="21">
        <f>SUM(AX4:AX7)</f>
        <v>12825</v>
      </c>
      <c r="AY8" s="21"/>
    </row>
    <row r="9" spans="1:51" x14ac:dyDescent="0.2">
      <c r="A9" s="8"/>
    </row>
    <row r="10" spans="1:51" s="20" customFormat="1" x14ac:dyDescent="0.2">
      <c r="A10" s="218" t="s">
        <v>16</v>
      </c>
      <c r="B10" s="218"/>
      <c r="C10" s="218"/>
      <c r="D10" s="218"/>
      <c r="E10" s="218"/>
      <c r="F10" s="218"/>
      <c r="G10" s="218"/>
      <c r="H10" s="218"/>
      <c r="I10" s="218"/>
      <c r="J10" s="218"/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18"/>
      <c r="V10" s="218"/>
      <c r="W10" s="218"/>
      <c r="X10" s="218"/>
      <c r="Y10" s="218"/>
      <c r="Z10" s="218"/>
      <c r="AA10" s="218"/>
      <c r="AB10" s="218"/>
      <c r="AC10" s="218"/>
      <c r="AD10" s="218"/>
      <c r="AE10" s="218"/>
      <c r="AF10" s="218"/>
      <c r="AG10" s="218"/>
      <c r="AH10" s="218"/>
      <c r="AI10" s="218"/>
      <c r="AJ10" s="218"/>
      <c r="AK10" s="218"/>
      <c r="AL10" s="218"/>
      <c r="AM10" s="218"/>
      <c r="AN10" s="218"/>
      <c r="AO10" s="218"/>
      <c r="AP10" s="218"/>
      <c r="AQ10" s="218"/>
      <c r="AR10" s="218"/>
      <c r="AS10" s="218"/>
      <c r="AT10" s="218"/>
      <c r="AU10" s="218"/>
      <c r="AV10" s="218"/>
      <c r="AW10" s="218"/>
      <c r="AX10" s="218"/>
    </row>
    <row r="11" spans="1:51" s="4" customFormat="1" ht="30" customHeight="1" x14ac:dyDescent="0.2">
      <c r="A11" s="4" t="s">
        <v>1</v>
      </c>
      <c r="B11" s="216" t="s">
        <v>2</v>
      </c>
      <c r="C11" s="216"/>
      <c r="D11" s="216"/>
      <c r="E11" s="216"/>
      <c r="F11" s="216"/>
      <c r="G11" s="216"/>
      <c r="H11" s="216"/>
      <c r="I11" s="216"/>
      <c r="K11" s="216" t="s">
        <v>3</v>
      </c>
      <c r="L11" s="216"/>
      <c r="M11" s="216"/>
      <c r="N11" s="216"/>
      <c r="O11" s="216"/>
      <c r="P11" s="216"/>
      <c r="Q11" s="216"/>
      <c r="R11" s="216"/>
      <c r="T11" s="216" t="s">
        <v>4</v>
      </c>
      <c r="U11" s="216"/>
      <c r="V11" s="216"/>
      <c r="W11" s="216"/>
      <c r="X11" s="216"/>
      <c r="Y11" s="216"/>
      <c r="Z11" s="216"/>
      <c r="AA11" s="216"/>
      <c r="AC11" s="216" t="s">
        <v>5</v>
      </c>
      <c r="AD11" s="216"/>
      <c r="AE11" s="216"/>
      <c r="AF11" s="216"/>
      <c r="AG11" s="216"/>
      <c r="AH11" s="216"/>
      <c r="AI11" s="216"/>
      <c r="AJ11" s="216"/>
      <c r="AL11" s="216" t="s">
        <v>6</v>
      </c>
      <c r="AM11" s="216"/>
      <c r="AN11" s="216"/>
      <c r="AO11" s="216"/>
      <c r="AP11" s="216"/>
      <c r="AQ11" s="216"/>
      <c r="AR11" s="216"/>
      <c r="AS11" s="216"/>
      <c r="AU11" s="4" t="s">
        <v>7</v>
      </c>
      <c r="AV11" s="4" t="s">
        <v>8</v>
      </c>
      <c r="AW11" s="4" t="s">
        <v>9</v>
      </c>
      <c r="AX11" s="4" t="s">
        <v>10</v>
      </c>
    </row>
    <row r="12" spans="1:51" s="4" customFormat="1" ht="27.75" customHeight="1" x14ac:dyDescent="0.2">
      <c r="B12" s="4" t="s">
        <v>41</v>
      </c>
      <c r="C12" s="4" t="s">
        <v>42</v>
      </c>
      <c r="D12" s="4" t="s">
        <v>50</v>
      </c>
      <c r="E12" s="4" t="s">
        <v>44</v>
      </c>
      <c r="F12" s="4" t="s">
        <v>45</v>
      </c>
      <c r="G12" s="4" t="s">
        <v>46</v>
      </c>
      <c r="H12" s="4" t="s">
        <v>47</v>
      </c>
      <c r="I12" s="4" t="s">
        <v>48</v>
      </c>
      <c r="J12" s="22" t="s">
        <v>49</v>
      </c>
      <c r="K12" s="4" t="s">
        <v>41</v>
      </c>
      <c r="L12" s="4" t="s">
        <v>42</v>
      </c>
      <c r="M12" s="4" t="s">
        <v>43</v>
      </c>
      <c r="N12" s="4" t="s">
        <v>44</v>
      </c>
      <c r="O12" s="4" t="s">
        <v>45</v>
      </c>
      <c r="P12" s="4" t="s">
        <v>46</v>
      </c>
      <c r="Q12" s="4" t="s">
        <v>47</v>
      </c>
      <c r="R12" s="4" t="s">
        <v>48</v>
      </c>
      <c r="S12" s="22" t="s">
        <v>49</v>
      </c>
      <c r="T12" s="4" t="s">
        <v>41</v>
      </c>
      <c r="U12" s="4" t="s">
        <v>42</v>
      </c>
      <c r="V12" s="4" t="s">
        <v>43</v>
      </c>
      <c r="W12" s="4" t="s">
        <v>44</v>
      </c>
      <c r="X12" s="4" t="s">
        <v>45</v>
      </c>
      <c r="Y12" s="4" t="s">
        <v>46</v>
      </c>
      <c r="Z12" s="4" t="s">
        <v>47</v>
      </c>
      <c r="AA12" s="4" t="s">
        <v>48</v>
      </c>
      <c r="AB12" s="22" t="s">
        <v>49</v>
      </c>
      <c r="AC12" s="4" t="s">
        <v>41</v>
      </c>
      <c r="AD12" s="4" t="s">
        <v>42</v>
      </c>
      <c r="AE12" s="4" t="s">
        <v>43</v>
      </c>
      <c r="AF12" s="4" t="s">
        <v>44</v>
      </c>
      <c r="AG12" s="4" t="s">
        <v>45</v>
      </c>
      <c r="AH12" s="4" t="s">
        <v>46</v>
      </c>
      <c r="AI12" s="4" t="s">
        <v>47</v>
      </c>
      <c r="AJ12" s="4" t="s">
        <v>48</v>
      </c>
      <c r="AK12" s="22" t="s">
        <v>49</v>
      </c>
      <c r="AL12" s="4" t="s">
        <v>41</v>
      </c>
      <c r="AM12" s="4" t="s">
        <v>42</v>
      </c>
      <c r="AN12" s="4" t="s">
        <v>43</v>
      </c>
      <c r="AO12" s="4" t="s">
        <v>44</v>
      </c>
      <c r="AP12" s="4" t="s">
        <v>45</v>
      </c>
      <c r="AQ12" s="4" t="s">
        <v>46</v>
      </c>
      <c r="AR12" s="4" t="s">
        <v>47</v>
      </c>
      <c r="AS12" s="4" t="s">
        <v>48</v>
      </c>
      <c r="AT12" s="22" t="s">
        <v>49</v>
      </c>
    </row>
    <row r="13" spans="1:51" x14ac:dyDescent="0.2">
      <c r="A13" s="8" t="s">
        <v>17</v>
      </c>
      <c r="B13" s="1">
        <f>'Evolution RH en nombre'!B11</f>
        <v>1</v>
      </c>
      <c r="C13" s="1">
        <v>1</v>
      </c>
      <c r="D13" s="1">
        <v>1</v>
      </c>
      <c r="E13" s="1">
        <v>0</v>
      </c>
      <c r="F13" s="1">
        <v>1</v>
      </c>
      <c r="G13" s="1">
        <v>0</v>
      </c>
      <c r="H13" s="1">
        <v>0</v>
      </c>
      <c r="I13" s="1">
        <v>1</v>
      </c>
      <c r="J13" s="1">
        <v>0</v>
      </c>
      <c r="K13" s="23">
        <f>'Evolution RH en nombre'!C11</f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23">
        <f>'Evolution RH en nombre'!D11</f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23">
        <f>'Evolution RH en nombre'!E11</f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23">
        <f>'Evolution RH en nombre'!F11</f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W13" s="1">
        <f>'Evolution RH en nombre'!I11</f>
        <v>1700</v>
      </c>
      <c r="AX13" s="1">
        <f>'Evolution RH en nombre'!J11</f>
        <v>2295</v>
      </c>
    </row>
    <row r="14" spans="1:51" x14ac:dyDescent="0.2">
      <c r="A14" s="8" t="s">
        <v>18</v>
      </c>
      <c r="B14" s="1">
        <f>'Evolution RH en nombre'!B12</f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23">
        <f>'Evolution RH en nombre'!C12</f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23">
        <f>'Evolution RH en nombre'!D12</f>
        <v>1</v>
      </c>
      <c r="U14" s="1">
        <v>1</v>
      </c>
      <c r="V14" s="1">
        <v>1</v>
      </c>
      <c r="W14" s="1">
        <v>0</v>
      </c>
      <c r="X14" s="1">
        <v>1</v>
      </c>
      <c r="Y14" s="1">
        <v>0</v>
      </c>
      <c r="Z14" s="1">
        <v>0</v>
      </c>
      <c r="AA14" s="1">
        <v>1</v>
      </c>
      <c r="AB14" s="1">
        <v>0</v>
      </c>
      <c r="AC14" s="23">
        <f>'Evolution RH en nombre'!E12</f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23">
        <f>'Evolution RH en nombre'!F12</f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W14" s="1">
        <f>'Evolution RH en nombre'!I12</f>
        <v>1300</v>
      </c>
      <c r="AX14" s="1">
        <f>'Evolution RH en nombre'!J12</f>
        <v>1755.0000000000002</v>
      </c>
    </row>
    <row r="15" spans="1:51" x14ac:dyDescent="0.2">
      <c r="A15" s="8" t="s">
        <v>19</v>
      </c>
      <c r="B15" s="1">
        <f>'Evolution RH en nombre'!B13</f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23">
        <f>'Evolution RH en nombre'!C13</f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23">
        <f>'Evolution RH en nombre'!D13</f>
        <v>1</v>
      </c>
      <c r="U15" s="1">
        <v>1</v>
      </c>
      <c r="V15" s="1">
        <v>1</v>
      </c>
      <c r="W15" s="1">
        <v>0</v>
      </c>
      <c r="X15" s="1">
        <v>1</v>
      </c>
      <c r="Y15" s="1">
        <v>0</v>
      </c>
      <c r="Z15" s="1">
        <v>0</v>
      </c>
      <c r="AA15" s="1">
        <v>1</v>
      </c>
      <c r="AB15" s="1">
        <v>0</v>
      </c>
      <c r="AC15" s="23">
        <f>'Evolution RH en nombre'!E13</f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23">
        <f>'Evolution RH en nombre'!F13</f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W15" s="1">
        <f>'Evolution RH en nombre'!I13</f>
        <v>1200</v>
      </c>
      <c r="AX15" s="1">
        <f>'Evolution RH en nombre'!J13</f>
        <v>1620</v>
      </c>
    </row>
    <row r="16" spans="1:51" x14ac:dyDescent="0.2">
      <c r="A16" s="8" t="s">
        <v>20</v>
      </c>
      <c r="B16" s="1">
        <f>'Evolution RH en nombre'!B14</f>
        <v>2</v>
      </c>
      <c r="C16" s="1">
        <v>1</v>
      </c>
      <c r="D16" s="1">
        <v>1</v>
      </c>
      <c r="E16" s="1">
        <v>0</v>
      </c>
      <c r="F16" s="1">
        <v>1</v>
      </c>
      <c r="G16" s="1">
        <v>1</v>
      </c>
      <c r="H16" s="1">
        <v>0</v>
      </c>
      <c r="I16" s="1">
        <v>1</v>
      </c>
      <c r="J16" s="1">
        <v>0</v>
      </c>
      <c r="K16" s="23">
        <f>'Evolution RH en nombre'!C14</f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23">
        <f>'Evolution RH en nombre'!D14</f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23">
        <f>'Evolution RH en nombre'!E14</f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23">
        <f>'Evolution RH en nombre'!F14</f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W16" s="1">
        <f>'Evolution RH en nombre'!I14</f>
        <v>1300</v>
      </c>
      <c r="AX16" s="1">
        <f>'Evolution RH en nombre'!J14</f>
        <v>1755.0000000000002</v>
      </c>
    </row>
    <row r="17" spans="1:50" x14ac:dyDescent="0.2">
      <c r="A17" s="8" t="s">
        <v>21</v>
      </c>
      <c r="B17" s="1">
        <f>'Evolution RH en nombre'!B15</f>
        <v>5</v>
      </c>
      <c r="C17" s="1">
        <v>5</v>
      </c>
      <c r="D17" s="1">
        <v>0</v>
      </c>
      <c r="E17" s="1">
        <v>1</v>
      </c>
      <c r="F17" s="1">
        <v>0</v>
      </c>
      <c r="G17" s="1">
        <v>5</v>
      </c>
      <c r="H17" s="1">
        <v>0</v>
      </c>
      <c r="I17" s="1">
        <v>0</v>
      </c>
      <c r="J17" s="1">
        <v>0</v>
      </c>
      <c r="K17" s="23">
        <f>'Evolution RH en nombre'!C15</f>
        <v>0.75</v>
      </c>
      <c r="L17" s="1">
        <v>1</v>
      </c>
      <c r="M17" s="1">
        <v>0</v>
      </c>
      <c r="N17" s="1">
        <v>0</v>
      </c>
      <c r="O17" s="1">
        <v>0</v>
      </c>
      <c r="P17" s="1">
        <v>1</v>
      </c>
      <c r="Q17" s="1">
        <v>0</v>
      </c>
      <c r="R17" s="1">
        <v>0</v>
      </c>
      <c r="S17" s="1">
        <v>0</v>
      </c>
      <c r="T17" s="23">
        <f>'Evolution RH en nombre'!D15</f>
        <v>0.86249999999999993</v>
      </c>
      <c r="U17" s="1">
        <v>1</v>
      </c>
      <c r="V17" s="1">
        <v>0</v>
      </c>
      <c r="W17" s="1">
        <v>1</v>
      </c>
      <c r="X17" s="1">
        <v>0</v>
      </c>
      <c r="Y17" s="1">
        <v>1</v>
      </c>
      <c r="Z17" s="1">
        <v>0</v>
      </c>
      <c r="AA17" s="1">
        <v>0</v>
      </c>
      <c r="AB17" s="1">
        <v>0</v>
      </c>
      <c r="AC17" s="23">
        <f>'Evolution RH en nombre'!E15</f>
        <v>0.99187499999999995</v>
      </c>
      <c r="AD17" s="1">
        <v>1</v>
      </c>
      <c r="AE17" s="1">
        <v>0</v>
      </c>
      <c r="AF17" s="1">
        <v>0</v>
      </c>
      <c r="AG17" s="1">
        <v>0</v>
      </c>
      <c r="AH17" s="1">
        <v>1</v>
      </c>
      <c r="AI17" s="1">
        <v>0</v>
      </c>
      <c r="AJ17" s="1">
        <v>0</v>
      </c>
      <c r="AK17" s="1">
        <v>0</v>
      </c>
      <c r="AL17" s="23">
        <f>'Evolution RH en nombre'!F15</f>
        <v>1.1406562499999999</v>
      </c>
      <c r="AM17" s="1">
        <v>1</v>
      </c>
      <c r="AN17" s="1">
        <v>0</v>
      </c>
      <c r="AO17" s="1">
        <v>0</v>
      </c>
      <c r="AP17" s="1">
        <v>0</v>
      </c>
      <c r="AQ17" s="1">
        <v>1</v>
      </c>
      <c r="AR17" s="1">
        <v>0</v>
      </c>
      <c r="AS17" s="1">
        <v>0</v>
      </c>
      <c r="AT17" s="1">
        <v>0</v>
      </c>
      <c r="AW17" s="1">
        <f>'Evolution RH en nombre'!I15</f>
        <v>800</v>
      </c>
      <c r="AX17" s="1">
        <f>'Evolution RH en nombre'!J15</f>
        <v>1080</v>
      </c>
    </row>
    <row r="18" spans="1:50" x14ac:dyDescent="0.2">
      <c r="A18" s="8" t="s">
        <v>22</v>
      </c>
      <c r="B18" s="1">
        <f>'Evolution RH en nombre'!B16</f>
        <v>3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23">
        <f>'Evolution RH en nombre'!C16</f>
        <v>0.44999999999999996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23">
        <f>'Evolution RH en nombre'!D16</f>
        <v>0.51749999999999996</v>
      </c>
      <c r="U18" s="1">
        <v>1</v>
      </c>
      <c r="V18" s="1">
        <v>0</v>
      </c>
      <c r="W18" s="1">
        <v>0</v>
      </c>
      <c r="X18" s="1">
        <v>0</v>
      </c>
      <c r="Y18" s="1">
        <v>1</v>
      </c>
      <c r="Z18" s="1">
        <v>0</v>
      </c>
      <c r="AA18" s="1">
        <v>0</v>
      </c>
      <c r="AB18" s="1">
        <v>0</v>
      </c>
      <c r="AC18" s="23">
        <f>'Evolution RH en nombre'!E16</f>
        <v>0.5951249999999999</v>
      </c>
      <c r="AD18" s="1">
        <v>1</v>
      </c>
      <c r="AE18" s="1">
        <v>0</v>
      </c>
      <c r="AF18" s="1">
        <v>0</v>
      </c>
      <c r="AG18" s="1">
        <v>0</v>
      </c>
      <c r="AH18" s="1">
        <v>1</v>
      </c>
      <c r="AI18" s="1">
        <v>0</v>
      </c>
      <c r="AJ18" s="1">
        <v>0</v>
      </c>
      <c r="AK18" s="1">
        <v>0</v>
      </c>
      <c r="AL18" s="23">
        <f>'Evolution RH en nombre'!F16</f>
        <v>0.68439374999999991</v>
      </c>
      <c r="AM18" s="1">
        <v>1</v>
      </c>
      <c r="AN18" s="1">
        <v>0</v>
      </c>
      <c r="AO18" s="1">
        <v>0</v>
      </c>
      <c r="AP18" s="1">
        <v>0</v>
      </c>
      <c r="AQ18" s="1">
        <v>1</v>
      </c>
      <c r="AR18" s="1">
        <v>0</v>
      </c>
      <c r="AS18" s="1">
        <v>0</v>
      </c>
      <c r="AT18" s="1">
        <v>0</v>
      </c>
      <c r="AW18" s="1">
        <f>'Evolution RH en nombre'!I16</f>
        <v>800</v>
      </c>
      <c r="AX18" s="1">
        <f>'Evolution RH en nombre'!J16</f>
        <v>1080</v>
      </c>
    </row>
    <row r="19" spans="1:50" x14ac:dyDescent="0.2">
      <c r="A19" s="8" t="s">
        <v>23</v>
      </c>
      <c r="B19" s="1">
        <f>'Evolution RH en nombre'!B17</f>
        <v>1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23">
        <f>'Evolution RH en nombre'!C17</f>
        <v>0.15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23">
        <f>'Evolution RH en nombre'!D17</f>
        <v>0.17249999999999999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23">
        <f>'Evolution RH en nombre'!E17</f>
        <v>0.198375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23">
        <f>'Evolution RH en nombre'!F17</f>
        <v>0.22813124999999998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W19" s="1">
        <f>'Evolution RH en nombre'!I17</f>
        <v>800</v>
      </c>
      <c r="AX19" s="1">
        <f>'Evolution RH en nombre'!J17</f>
        <v>1080</v>
      </c>
    </row>
    <row r="20" spans="1:50" x14ac:dyDescent="0.2">
      <c r="A20" s="8" t="s">
        <v>24</v>
      </c>
      <c r="B20" s="1">
        <f>'Evolution RH en nombre'!B18</f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23">
        <f>'Evolution RH en nombre'!C18</f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23">
        <f>'Evolution RH en nombre'!D18</f>
        <v>1</v>
      </c>
      <c r="U20" s="1">
        <v>1</v>
      </c>
      <c r="V20" s="1">
        <v>1</v>
      </c>
      <c r="W20" s="1">
        <v>0</v>
      </c>
      <c r="X20" s="1">
        <v>1</v>
      </c>
      <c r="Y20" s="1">
        <v>0</v>
      </c>
      <c r="Z20" s="1">
        <v>0</v>
      </c>
      <c r="AA20" s="1">
        <v>1</v>
      </c>
      <c r="AB20" s="1">
        <v>0</v>
      </c>
      <c r="AC20" s="23">
        <f>'Evolution RH en nombre'!E18</f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23">
        <f>'Evolution RH en nombre'!F18</f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W20" s="1">
        <f>'Evolution RH en nombre'!I18</f>
        <v>950</v>
      </c>
      <c r="AX20" s="23">
        <f>'Evolution RH en nombre'!J18</f>
        <v>1282.5</v>
      </c>
    </row>
    <row r="21" spans="1:50" x14ac:dyDescent="0.2">
      <c r="A21" s="8" t="s">
        <v>25</v>
      </c>
      <c r="B21" s="1">
        <f>'Evolution RH en nombre'!B19</f>
        <v>2</v>
      </c>
      <c r="C21" s="1">
        <v>2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2</v>
      </c>
      <c r="K21" s="23">
        <f>'Evolution RH en nombre'!C19</f>
        <v>3</v>
      </c>
      <c r="L21" s="1">
        <v>3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3</v>
      </c>
      <c r="T21" s="23">
        <f>'Evolution RH en nombre'!D19</f>
        <v>2</v>
      </c>
      <c r="U21" s="1">
        <v>2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2</v>
      </c>
      <c r="AC21" s="23">
        <f>'Evolution RH en nombre'!E19</f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23">
        <f>'Evolution RH en nombre'!F19</f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W21" s="1">
        <f>'Evolution RH en nombre'!I19</f>
        <v>600</v>
      </c>
      <c r="AX21" s="1">
        <f>'Evolution RH en nombre'!J19</f>
        <v>810</v>
      </c>
    </row>
    <row r="22" spans="1:50" x14ac:dyDescent="0.2">
      <c r="A22" s="8" t="s">
        <v>26</v>
      </c>
      <c r="B22" s="1">
        <f>'Evolution RH en nombre'!B20</f>
        <v>1</v>
      </c>
      <c r="C22" s="1">
        <v>1</v>
      </c>
      <c r="D22" s="1">
        <v>1</v>
      </c>
      <c r="E22" s="1">
        <v>0</v>
      </c>
      <c r="F22" s="1">
        <v>1</v>
      </c>
      <c r="G22" s="1">
        <v>0</v>
      </c>
      <c r="H22" s="1">
        <v>0</v>
      </c>
      <c r="I22" s="1">
        <v>1</v>
      </c>
      <c r="J22" s="1">
        <v>0</v>
      </c>
      <c r="K22" s="23">
        <f>'Evolution RH en nombre'!C20</f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23">
        <f>'Evolution RH en nombre'!D20</f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23">
        <f>'Evolution RH en nombre'!E20</f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23">
        <f>'Evolution RH en nombre'!F20</f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W22" s="1">
        <f>'Evolution RH en nombre'!I20</f>
        <v>1500</v>
      </c>
      <c r="AX22" s="1">
        <f>'Evolution RH en nombre'!J20</f>
        <v>2025.0000000000002</v>
      </c>
    </row>
    <row r="23" spans="1:50" x14ac:dyDescent="0.2">
      <c r="A23" s="8" t="s">
        <v>27</v>
      </c>
      <c r="B23" s="1">
        <f>'Evolution RH en nombre'!B21</f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24">
        <v>0</v>
      </c>
      <c r="J23" s="24">
        <v>0</v>
      </c>
      <c r="K23" s="23">
        <f>'Evolution RH en nombre'!C21</f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24">
        <v>0</v>
      </c>
      <c r="T23" s="23">
        <f>'Evolution RH en nombre'!D21</f>
        <v>1</v>
      </c>
      <c r="U23" s="1">
        <v>1</v>
      </c>
      <c r="V23" s="1">
        <v>1</v>
      </c>
      <c r="W23" s="1">
        <v>0</v>
      </c>
      <c r="X23" s="1">
        <v>1</v>
      </c>
      <c r="Y23" s="1">
        <v>0</v>
      </c>
      <c r="Z23" s="1">
        <v>0</v>
      </c>
      <c r="AA23" s="1">
        <v>1</v>
      </c>
      <c r="AB23" s="24">
        <v>0</v>
      </c>
      <c r="AC23" s="23">
        <f>'Evolution RH en nombre'!E21</f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24">
        <v>0</v>
      </c>
      <c r="AL23" s="23">
        <f>'Evolution RH en nombre'!F21</f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24">
        <v>0</v>
      </c>
      <c r="AW23" s="1">
        <f>'Evolution RH en nombre'!I21</f>
        <v>1300</v>
      </c>
      <c r="AX23" s="1">
        <f>'Evolution RH en nombre'!J21</f>
        <v>1755.0000000000002</v>
      </c>
    </row>
    <row r="24" spans="1:50" x14ac:dyDescent="0.2">
      <c r="A24" s="8" t="s">
        <v>28</v>
      </c>
      <c r="B24" s="1">
        <f>'Evolution RH en nombre'!B22</f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24">
        <v>0</v>
      </c>
      <c r="J24" s="24">
        <v>0</v>
      </c>
      <c r="K24" s="23">
        <f>'Evolution RH en nombre'!C22</f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24">
        <v>0</v>
      </c>
      <c r="T24" s="23">
        <f>'Evolution RH en nombre'!D22</f>
        <v>1</v>
      </c>
      <c r="U24" s="1">
        <v>1</v>
      </c>
      <c r="V24" s="1">
        <v>1</v>
      </c>
      <c r="W24" s="1">
        <v>0</v>
      </c>
      <c r="X24" s="1">
        <v>1</v>
      </c>
      <c r="Y24" s="1">
        <v>0</v>
      </c>
      <c r="Z24" s="1">
        <v>0</v>
      </c>
      <c r="AA24" s="1">
        <v>1</v>
      </c>
      <c r="AB24" s="24">
        <v>0</v>
      </c>
      <c r="AC24" s="23">
        <f>'Evolution RH en nombre'!E22</f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24">
        <v>0</v>
      </c>
      <c r="AL24" s="23">
        <f>'Evolution RH en nombre'!F22</f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24">
        <v>0</v>
      </c>
      <c r="AW24" s="1">
        <f>'Evolution RH en nombre'!I22</f>
        <v>1300</v>
      </c>
      <c r="AX24" s="1">
        <f>'Evolution RH en nombre'!J22</f>
        <v>1755.0000000000002</v>
      </c>
    </row>
    <row r="25" spans="1:50" s="20" customFormat="1" x14ac:dyDescent="0.2">
      <c r="A25" s="21" t="s">
        <v>15</v>
      </c>
      <c r="B25" s="21">
        <f t="shared" ref="B25:AT25" si="1">SUM(B13:B24)</f>
        <v>15</v>
      </c>
      <c r="C25" s="21">
        <f t="shared" si="1"/>
        <v>10</v>
      </c>
      <c r="D25" s="21">
        <f t="shared" si="1"/>
        <v>3</v>
      </c>
      <c r="E25" s="21">
        <f t="shared" si="1"/>
        <v>1</v>
      </c>
      <c r="F25" s="21">
        <f t="shared" si="1"/>
        <v>3</v>
      </c>
      <c r="G25" s="21">
        <f t="shared" si="1"/>
        <v>6</v>
      </c>
      <c r="H25" s="21">
        <f t="shared" si="1"/>
        <v>0</v>
      </c>
      <c r="I25" s="21">
        <f t="shared" si="1"/>
        <v>3</v>
      </c>
      <c r="J25" s="21">
        <f t="shared" si="1"/>
        <v>2</v>
      </c>
      <c r="K25" s="25">
        <f t="shared" si="1"/>
        <v>4.3499999999999996</v>
      </c>
      <c r="L25" s="21">
        <f t="shared" si="1"/>
        <v>4</v>
      </c>
      <c r="M25" s="21">
        <f t="shared" si="1"/>
        <v>0</v>
      </c>
      <c r="N25" s="21">
        <f t="shared" si="1"/>
        <v>0</v>
      </c>
      <c r="O25" s="21">
        <f t="shared" si="1"/>
        <v>0</v>
      </c>
      <c r="P25" s="21">
        <f t="shared" si="1"/>
        <v>1</v>
      </c>
      <c r="Q25" s="21">
        <f t="shared" si="1"/>
        <v>0</v>
      </c>
      <c r="R25" s="21">
        <f t="shared" si="1"/>
        <v>0</v>
      </c>
      <c r="S25" s="21">
        <f t="shared" si="1"/>
        <v>3</v>
      </c>
      <c r="T25" s="21">
        <f t="shared" si="1"/>
        <v>8.5525000000000002</v>
      </c>
      <c r="U25" s="21">
        <f t="shared" si="1"/>
        <v>9</v>
      </c>
      <c r="V25" s="21">
        <f t="shared" si="1"/>
        <v>5</v>
      </c>
      <c r="W25" s="21">
        <f t="shared" si="1"/>
        <v>1</v>
      </c>
      <c r="X25" s="21">
        <f t="shared" si="1"/>
        <v>5</v>
      </c>
      <c r="Y25" s="21">
        <f t="shared" si="1"/>
        <v>2</v>
      </c>
      <c r="Z25" s="21">
        <f t="shared" si="1"/>
        <v>0</v>
      </c>
      <c r="AA25" s="21">
        <f t="shared" si="1"/>
        <v>5</v>
      </c>
      <c r="AB25" s="21">
        <f t="shared" si="1"/>
        <v>2</v>
      </c>
      <c r="AC25" s="21">
        <f t="shared" si="1"/>
        <v>1.7853749999999997</v>
      </c>
      <c r="AD25" s="21">
        <f t="shared" si="1"/>
        <v>2</v>
      </c>
      <c r="AE25" s="21">
        <f t="shared" si="1"/>
        <v>0</v>
      </c>
      <c r="AF25" s="21">
        <f t="shared" si="1"/>
        <v>0</v>
      </c>
      <c r="AG25" s="21">
        <f t="shared" si="1"/>
        <v>0</v>
      </c>
      <c r="AH25" s="21">
        <f t="shared" si="1"/>
        <v>2</v>
      </c>
      <c r="AI25" s="21">
        <f t="shared" si="1"/>
        <v>0</v>
      </c>
      <c r="AJ25" s="21">
        <f t="shared" si="1"/>
        <v>0</v>
      </c>
      <c r="AK25" s="21">
        <f t="shared" si="1"/>
        <v>0</v>
      </c>
      <c r="AL25" s="21">
        <f t="shared" si="1"/>
        <v>2.0531812499999997</v>
      </c>
      <c r="AM25" s="21">
        <f t="shared" si="1"/>
        <v>2</v>
      </c>
      <c r="AN25" s="21">
        <f t="shared" si="1"/>
        <v>0</v>
      </c>
      <c r="AO25" s="21">
        <f t="shared" si="1"/>
        <v>0</v>
      </c>
      <c r="AP25" s="21">
        <f t="shared" si="1"/>
        <v>0</v>
      </c>
      <c r="AQ25" s="21">
        <f t="shared" si="1"/>
        <v>2</v>
      </c>
      <c r="AR25" s="21">
        <f t="shared" si="1"/>
        <v>0</v>
      </c>
      <c r="AS25" s="21">
        <f t="shared" si="1"/>
        <v>0</v>
      </c>
      <c r="AT25" s="21">
        <f t="shared" si="1"/>
        <v>0</v>
      </c>
      <c r="AU25" s="21"/>
      <c r="AV25" s="21"/>
      <c r="AW25" s="21">
        <f>SUM(AW13:AW24)</f>
        <v>13550</v>
      </c>
      <c r="AX25" s="25">
        <f>SUM(AX13:AX24)</f>
        <v>18292.5</v>
      </c>
    </row>
    <row r="26" spans="1:50" x14ac:dyDescent="0.2">
      <c r="A26" s="8"/>
    </row>
    <row r="27" spans="1:50" s="20" customFormat="1" x14ac:dyDescent="0.2">
      <c r="A27" s="218" t="s">
        <v>29</v>
      </c>
      <c r="B27" s="218"/>
      <c r="C27" s="218"/>
      <c r="D27" s="218"/>
      <c r="E27" s="218"/>
      <c r="F27" s="218"/>
      <c r="G27" s="218"/>
      <c r="H27" s="218"/>
      <c r="I27" s="218"/>
      <c r="J27" s="218"/>
      <c r="K27" s="218"/>
      <c r="L27" s="218"/>
      <c r="M27" s="218"/>
      <c r="N27" s="218"/>
      <c r="O27" s="218"/>
      <c r="P27" s="218"/>
      <c r="Q27" s="218"/>
      <c r="R27" s="218"/>
      <c r="S27" s="218"/>
      <c r="T27" s="218"/>
      <c r="U27" s="218"/>
      <c r="V27" s="218"/>
      <c r="W27" s="218"/>
      <c r="X27" s="218"/>
      <c r="Y27" s="218"/>
      <c r="Z27" s="218"/>
      <c r="AA27" s="218"/>
      <c r="AB27" s="218"/>
      <c r="AC27" s="218"/>
      <c r="AD27" s="218"/>
      <c r="AE27" s="218"/>
      <c r="AF27" s="218"/>
      <c r="AG27" s="218"/>
      <c r="AH27" s="218"/>
      <c r="AI27" s="218"/>
      <c r="AJ27" s="218"/>
      <c r="AK27" s="218"/>
      <c r="AL27" s="218"/>
      <c r="AM27" s="218"/>
      <c r="AN27" s="218"/>
      <c r="AO27" s="218"/>
      <c r="AP27" s="218"/>
      <c r="AQ27" s="218"/>
      <c r="AR27" s="218"/>
      <c r="AS27" s="218"/>
      <c r="AT27" s="218"/>
      <c r="AU27" s="218"/>
      <c r="AV27" s="218"/>
      <c r="AW27" s="218"/>
      <c r="AX27" s="218"/>
    </row>
    <row r="28" spans="1:50" s="4" customFormat="1" ht="30" customHeight="1" x14ac:dyDescent="0.2">
      <c r="A28" s="4" t="s">
        <v>1</v>
      </c>
      <c r="B28" s="216" t="s">
        <v>2</v>
      </c>
      <c r="C28" s="216"/>
      <c r="D28" s="216"/>
      <c r="E28" s="216"/>
      <c r="F28" s="216"/>
      <c r="G28" s="216"/>
      <c r="H28" s="216"/>
      <c r="I28" s="216"/>
      <c r="K28" s="216" t="s">
        <v>3</v>
      </c>
      <c r="L28" s="216"/>
      <c r="M28" s="216"/>
      <c r="N28" s="216"/>
      <c r="O28" s="216"/>
      <c r="P28" s="216"/>
      <c r="Q28" s="216"/>
      <c r="R28" s="216"/>
      <c r="T28" s="216" t="s">
        <v>4</v>
      </c>
      <c r="U28" s="216"/>
      <c r="V28" s="216"/>
      <c r="W28" s="216"/>
      <c r="X28" s="216"/>
      <c r="Y28" s="216"/>
      <c r="Z28" s="216"/>
      <c r="AA28" s="216"/>
      <c r="AC28" s="216" t="s">
        <v>5</v>
      </c>
      <c r="AD28" s="216"/>
      <c r="AE28" s="216"/>
      <c r="AF28" s="216"/>
      <c r="AG28" s="216"/>
      <c r="AH28" s="216"/>
      <c r="AI28" s="216"/>
      <c r="AJ28" s="216"/>
      <c r="AL28" s="216" t="s">
        <v>6</v>
      </c>
      <c r="AM28" s="216"/>
      <c r="AN28" s="216"/>
      <c r="AO28" s="216"/>
      <c r="AP28" s="216"/>
      <c r="AQ28" s="216"/>
      <c r="AR28" s="216"/>
      <c r="AS28" s="216"/>
      <c r="AU28" s="4" t="s">
        <v>7</v>
      </c>
      <c r="AV28" s="4" t="s">
        <v>8</v>
      </c>
      <c r="AW28" s="4" t="s">
        <v>9</v>
      </c>
      <c r="AX28" s="4" t="s">
        <v>10</v>
      </c>
    </row>
    <row r="29" spans="1:50" s="4" customFormat="1" ht="13.5" customHeight="1" x14ac:dyDescent="0.2">
      <c r="B29" s="4" t="s">
        <v>41</v>
      </c>
      <c r="C29" s="4" t="s">
        <v>42</v>
      </c>
      <c r="D29" s="4" t="s">
        <v>43</v>
      </c>
      <c r="E29" s="4" t="s">
        <v>44</v>
      </c>
      <c r="F29" s="4" t="s">
        <v>45</v>
      </c>
      <c r="G29" s="4" t="s">
        <v>46</v>
      </c>
      <c r="H29" s="4" t="s">
        <v>47</v>
      </c>
      <c r="I29" s="4" t="s">
        <v>48</v>
      </c>
      <c r="J29" s="4" t="s">
        <v>49</v>
      </c>
      <c r="K29" s="4" t="s">
        <v>41</v>
      </c>
      <c r="L29" s="4" t="s">
        <v>42</v>
      </c>
      <c r="M29" s="4" t="s">
        <v>43</v>
      </c>
      <c r="N29" s="4" t="s">
        <v>44</v>
      </c>
      <c r="O29" s="4" t="s">
        <v>45</v>
      </c>
      <c r="P29" s="4" t="s">
        <v>46</v>
      </c>
      <c r="Q29" s="4" t="s">
        <v>47</v>
      </c>
      <c r="R29" s="4" t="s">
        <v>48</v>
      </c>
      <c r="S29" s="4" t="s">
        <v>49</v>
      </c>
      <c r="T29" s="4" t="s">
        <v>41</v>
      </c>
      <c r="U29" s="4" t="s">
        <v>42</v>
      </c>
      <c r="V29" s="4" t="s">
        <v>43</v>
      </c>
      <c r="W29" s="4" t="s">
        <v>44</v>
      </c>
      <c r="X29" s="4" t="s">
        <v>45</v>
      </c>
      <c r="Y29" s="4" t="s">
        <v>46</v>
      </c>
      <c r="Z29" s="4" t="s">
        <v>47</v>
      </c>
      <c r="AA29" s="4" t="s">
        <v>48</v>
      </c>
      <c r="AB29" s="4" t="s">
        <v>49</v>
      </c>
      <c r="AC29" s="4" t="s">
        <v>41</v>
      </c>
      <c r="AD29" s="4" t="s">
        <v>42</v>
      </c>
      <c r="AE29" s="4" t="s">
        <v>43</v>
      </c>
      <c r="AF29" s="4" t="s">
        <v>44</v>
      </c>
      <c r="AG29" s="4" t="s">
        <v>45</v>
      </c>
      <c r="AH29" s="4" t="s">
        <v>46</v>
      </c>
      <c r="AI29" s="4" t="s">
        <v>47</v>
      </c>
      <c r="AJ29" s="4" t="s">
        <v>48</v>
      </c>
      <c r="AK29" s="4" t="s">
        <v>49</v>
      </c>
      <c r="AL29" s="4" t="s">
        <v>41</v>
      </c>
      <c r="AM29" s="4" t="s">
        <v>42</v>
      </c>
      <c r="AN29" s="4" t="s">
        <v>43</v>
      </c>
      <c r="AO29" s="4" t="s">
        <v>44</v>
      </c>
      <c r="AP29" s="4" t="s">
        <v>45</v>
      </c>
      <c r="AQ29" s="4" t="s">
        <v>46</v>
      </c>
      <c r="AR29" s="4" t="s">
        <v>47</v>
      </c>
      <c r="AS29" s="4" t="s">
        <v>48</v>
      </c>
      <c r="AT29" s="4" t="s">
        <v>49</v>
      </c>
    </row>
    <row r="30" spans="1:50" x14ac:dyDescent="0.2">
      <c r="A30" s="8" t="s">
        <v>30</v>
      </c>
      <c r="B30" s="1">
        <f>'Evolution RH en nombre'!B27</f>
        <v>1</v>
      </c>
      <c r="C30" s="1">
        <v>1</v>
      </c>
      <c r="D30" s="1">
        <v>1</v>
      </c>
      <c r="E30" s="1">
        <v>0</v>
      </c>
      <c r="F30" s="1">
        <v>1</v>
      </c>
      <c r="G30" s="1">
        <v>0</v>
      </c>
      <c r="H30" s="1">
        <v>0</v>
      </c>
      <c r="I30" s="1">
        <v>1</v>
      </c>
      <c r="J30" s="1">
        <v>0</v>
      </c>
      <c r="K30" s="1">
        <f>'Evolution RH en nombre'!C27</f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f>'Evolution RH en nombre'!D27</f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f>'Evolution RH en nombre'!E27</f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f>'Evolution RH en nombre'!F27</f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W30" s="1">
        <f>'Evolution RH en nombre'!I27</f>
        <v>1500</v>
      </c>
      <c r="AX30" s="1">
        <f>'Evolution RH en nombre'!J27</f>
        <v>2025.0000000000002</v>
      </c>
    </row>
    <row r="31" spans="1:50" x14ac:dyDescent="0.2">
      <c r="A31" s="8" t="s">
        <v>31</v>
      </c>
      <c r="B31" s="1">
        <f>'Evolution RH en nombre'!B28</f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f>'Evolution RH en nombre'!C28</f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f>'Evolution RH en nombre'!D28</f>
        <v>1</v>
      </c>
      <c r="U31" s="1">
        <v>1</v>
      </c>
      <c r="V31" s="1">
        <v>1</v>
      </c>
      <c r="W31" s="1">
        <v>0</v>
      </c>
      <c r="X31" s="1">
        <v>1</v>
      </c>
      <c r="Y31" s="1">
        <v>0</v>
      </c>
      <c r="Z31" s="1">
        <v>0</v>
      </c>
      <c r="AA31" s="1">
        <v>1</v>
      </c>
      <c r="AB31" s="1">
        <v>0</v>
      </c>
      <c r="AC31" s="1">
        <f>'Evolution RH en nombre'!E28</f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f>'Evolution RH en nombre'!F28</f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W31" s="1">
        <f>'Evolution RH en nombre'!I28</f>
        <v>750</v>
      </c>
      <c r="AX31" s="23">
        <f>'Evolution RH en nombre'!J28</f>
        <v>1012.5000000000001</v>
      </c>
    </row>
    <row r="32" spans="1:50" x14ac:dyDescent="0.2">
      <c r="A32" s="8" t="s">
        <v>32</v>
      </c>
      <c r="B32" s="1">
        <f>'Evolution RH en nombre'!B29</f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f>'Evolution RH en nombre'!C29</f>
        <v>1</v>
      </c>
      <c r="L32" s="1">
        <v>1</v>
      </c>
      <c r="M32" s="1">
        <v>1</v>
      </c>
      <c r="N32" s="1">
        <v>0</v>
      </c>
      <c r="O32" s="1">
        <v>1</v>
      </c>
      <c r="P32" s="1">
        <v>0</v>
      </c>
      <c r="Q32" s="1">
        <v>0</v>
      </c>
      <c r="R32" s="1">
        <v>1</v>
      </c>
      <c r="S32" s="1">
        <v>0</v>
      </c>
      <c r="T32" s="1">
        <f>'Evolution RH en nombre'!D29</f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f>'Evolution RH en nombre'!E29</f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f>'Evolution RH en nombre'!F29</f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W32" s="1">
        <f>'Evolution RH en nombre'!I29</f>
        <v>750</v>
      </c>
      <c r="AX32" s="23">
        <f>'Evolution RH en nombre'!J29</f>
        <v>1012.5000000000001</v>
      </c>
    </row>
    <row r="33" spans="1:50" x14ac:dyDescent="0.2">
      <c r="A33" s="8" t="s">
        <v>33</v>
      </c>
      <c r="B33" s="1">
        <f>'Evolution RH en nombre'!B30</f>
        <v>1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1</v>
      </c>
      <c r="I33" s="1">
        <v>0</v>
      </c>
      <c r="J33" s="1">
        <v>1</v>
      </c>
      <c r="K33" s="1">
        <f>'Evolution RH en nombre'!C30</f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1</v>
      </c>
      <c r="R33" s="1">
        <v>0</v>
      </c>
      <c r="S33" s="1">
        <v>1</v>
      </c>
      <c r="T33" s="1">
        <f>'Evolution RH en nombre'!D30</f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f>'Evolution RH en nombre'!E30</f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f>'Evolution RH en nombre'!F30</f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W33" s="1">
        <f>'Evolution RH en nombre'!I30</f>
        <v>450</v>
      </c>
      <c r="AX33" s="23">
        <f>'Evolution RH en nombre'!J30</f>
        <v>607.5</v>
      </c>
    </row>
    <row r="34" spans="1:50" s="20" customFormat="1" x14ac:dyDescent="0.2">
      <c r="A34" s="21" t="s">
        <v>15</v>
      </c>
      <c r="B34" s="21">
        <f t="shared" ref="B34:AT34" si="2">SUM(B30:B33)</f>
        <v>2</v>
      </c>
      <c r="C34" s="21">
        <f t="shared" si="2"/>
        <v>1</v>
      </c>
      <c r="D34" s="21">
        <f t="shared" si="2"/>
        <v>1</v>
      </c>
      <c r="E34" s="21">
        <f t="shared" si="2"/>
        <v>0</v>
      </c>
      <c r="F34" s="21">
        <f t="shared" si="2"/>
        <v>1</v>
      </c>
      <c r="G34" s="21">
        <f t="shared" si="2"/>
        <v>0</v>
      </c>
      <c r="H34" s="21">
        <f t="shared" si="2"/>
        <v>1</v>
      </c>
      <c r="I34" s="21">
        <f t="shared" si="2"/>
        <v>1</v>
      </c>
      <c r="J34" s="21">
        <f t="shared" si="2"/>
        <v>1</v>
      </c>
      <c r="K34" s="21">
        <f t="shared" si="2"/>
        <v>1</v>
      </c>
      <c r="L34" s="21">
        <f t="shared" si="2"/>
        <v>1</v>
      </c>
      <c r="M34" s="21">
        <f t="shared" si="2"/>
        <v>1</v>
      </c>
      <c r="N34" s="21">
        <f t="shared" si="2"/>
        <v>0</v>
      </c>
      <c r="O34" s="21">
        <f t="shared" si="2"/>
        <v>1</v>
      </c>
      <c r="P34" s="21">
        <f t="shared" si="2"/>
        <v>0</v>
      </c>
      <c r="Q34" s="21">
        <f t="shared" si="2"/>
        <v>1</v>
      </c>
      <c r="R34" s="21">
        <f t="shared" si="2"/>
        <v>1</v>
      </c>
      <c r="S34" s="21">
        <f t="shared" si="2"/>
        <v>1</v>
      </c>
      <c r="T34" s="21">
        <f t="shared" si="2"/>
        <v>1</v>
      </c>
      <c r="U34" s="21">
        <f t="shared" si="2"/>
        <v>1</v>
      </c>
      <c r="V34" s="21">
        <f t="shared" si="2"/>
        <v>1</v>
      </c>
      <c r="W34" s="21">
        <f t="shared" si="2"/>
        <v>0</v>
      </c>
      <c r="X34" s="21">
        <f t="shared" si="2"/>
        <v>1</v>
      </c>
      <c r="Y34" s="21">
        <f t="shared" si="2"/>
        <v>0</v>
      </c>
      <c r="Z34" s="21">
        <f t="shared" si="2"/>
        <v>0</v>
      </c>
      <c r="AA34" s="21">
        <f t="shared" si="2"/>
        <v>1</v>
      </c>
      <c r="AB34" s="21">
        <f t="shared" si="2"/>
        <v>0</v>
      </c>
      <c r="AC34" s="21">
        <f t="shared" si="2"/>
        <v>0</v>
      </c>
      <c r="AD34" s="21">
        <f t="shared" si="2"/>
        <v>0</v>
      </c>
      <c r="AE34" s="21">
        <f t="shared" si="2"/>
        <v>0</v>
      </c>
      <c r="AF34" s="21">
        <f t="shared" si="2"/>
        <v>0</v>
      </c>
      <c r="AG34" s="21">
        <f t="shared" si="2"/>
        <v>0</v>
      </c>
      <c r="AH34" s="21">
        <f t="shared" si="2"/>
        <v>0</v>
      </c>
      <c r="AI34" s="21">
        <f t="shared" si="2"/>
        <v>0</v>
      </c>
      <c r="AJ34" s="21">
        <f t="shared" si="2"/>
        <v>0</v>
      </c>
      <c r="AK34" s="21">
        <f t="shared" si="2"/>
        <v>0</v>
      </c>
      <c r="AL34" s="21">
        <f t="shared" si="2"/>
        <v>0</v>
      </c>
      <c r="AM34" s="21">
        <f t="shared" si="2"/>
        <v>0</v>
      </c>
      <c r="AN34" s="21">
        <f t="shared" si="2"/>
        <v>0</v>
      </c>
      <c r="AO34" s="21">
        <f t="shared" si="2"/>
        <v>0</v>
      </c>
      <c r="AP34" s="21">
        <f t="shared" si="2"/>
        <v>0</v>
      </c>
      <c r="AQ34" s="21">
        <f t="shared" si="2"/>
        <v>0</v>
      </c>
      <c r="AR34" s="21">
        <f t="shared" si="2"/>
        <v>0</v>
      </c>
      <c r="AS34" s="21">
        <f t="shared" si="2"/>
        <v>0</v>
      </c>
      <c r="AT34" s="21">
        <f t="shared" si="2"/>
        <v>0</v>
      </c>
      <c r="AU34" s="21"/>
      <c r="AV34" s="21"/>
      <c r="AW34" s="21">
        <f>SUM(AW30:AW33)</f>
        <v>3450</v>
      </c>
      <c r="AX34" s="21">
        <f>SUM(AX30:AX33)</f>
        <v>4657.5</v>
      </c>
    </row>
    <row r="35" spans="1:50" x14ac:dyDescent="0.2">
      <c r="A35" s="8"/>
    </row>
    <row r="36" spans="1:50" s="20" customFormat="1" x14ac:dyDescent="0.2">
      <c r="A36" s="218" t="s">
        <v>34</v>
      </c>
      <c r="B36" s="218"/>
      <c r="C36" s="218"/>
      <c r="D36" s="218"/>
      <c r="E36" s="218"/>
      <c r="F36" s="218"/>
      <c r="G36" s="218"/>
      <c r="H36" s="218"/>
      <c r="I36" s="218"/>
      <c r="J36" s="218"/>
      <c r="K36" s="218"/>
      <c r="L36" s="218"/>
      <c r="M36" s="218"/>
      <c r="N36" s="218"/>
      <c r="O36" s="218"/>
      <c r="P36" s="218"/>
      <c r="Q36" s="218"/>
      <c r="R36" s="218"/>
      <c r="S36" s="218"/>
      <c r="T36" s="218"/>
      <c r="U36" s="218"/>
      <c r="V36" s="218"/>
      <c r="W36" s="218"/>
      <c r="X36" s="218"/>
      <c r="Y36" s="218"/>
      <c r="Z36" s="218"/>
      <c r="AA36" s="218"/>
      <c r="AB36" s="218"/>
      <c r="AC36" s="218"/>
      <c r="AD36" s="218"/>
      <c r="AE36" s="218"/>
      <c r="AF36" s="218"/>
      <c r="AG36" s="218"/>
      <c r="AH36" s="218"/>
      <c r="AI36" s="218"/>
      <c r="AJ36" s="218"/>
      <c r="AK36" s="218"/>
      <c r="AL36" s="218"/>
      <c r="AM36" s="218"/>
      <c r="AN36" s="218"/>
      <c r="AO36" s="218"/>
      <c r="AP36" s="218"/>
      <c r="AQ36" s="218"/>
      <c r="AR36" s="218"/>
      <c r="AS36" s="218"/>
      <c r="AT36" s="218"/>
      <c r="AU36" s="218"/>
      <c r="AV36" s="218"/>
      <c r="AW36" s="218"/>
      <c r="AX36" s="218"/>
    </row>
    <row r="37" spans="1:50" s="4" customFormat="1" ht="30" customHeight="1" x14ac:dyDescent="0.2">
      <c r="A37" s="4" t="s">
        <v>1</v>
      </c>
      <c r="B37" s="216" t="s">
        <v>2</v>
      </c>
      <c r="C37" s="216"/>
      <c r="D37" s="216"/>
      <c r="E37" s="216"/>
      <c r="F37" s="216"/>
      <c r="G37" s="216"/>
      <c r="H37" s="216"/>
      <c r="I37" s="216"/>
      <c r="K37" s="216" t="s">
        <v>3</v>
      </c>
      <c r="L37" s="216"/>
      <c r="M37" s="216"/>
      <c r="N37" s="216"/>
      <c r="O37" s="216"/>
      <c r="P37" s="216"/>
      <c r="Q37" s="216"/>
      <c r="R37" s="216"/>
      <c r="T37" s="216" t="s">
        <v>4</v>
      </c>
      <c r="U37" s="216"/>
      <c r="V37" s="216"/>
      <c r="W37" s="216"/>
      <c r="X37" s="216"/>
      <c r="Y37" s="216"/>
      <c r="Z37" s="216"/>
      <c r="AA37" s="216"/>
      <c r="AC37" s="216" t="s">
        <v>5</v>
      </c>
      <c r="AD37" s="216"/>
      <c r="AE37" s="216"/>
      <c r="AF37" s="216"/>
      <c r="AG37" s="216"/>
      <c r="AH37" s="216"/>
      <c r="AI37" s="216"/>
      <c r="AJ37" s="216"/>
      <c r="AL37" s="216" t="s">
        <v>6</v>
      </c>
      <c r="AM37" s="216"/>
      <c r="AN37" s="216"/>
      <c r="AO37" s="216"/>
      <c r="AP37" s="216"/>
      <c r="AQ37" s="216"/>
      <c r="AR37" s="216"/>
      <c r="AS37" s="216"/>
      <c r="AU37" s="4" t="s">
        <v>7</v>
      </c>
      <c r="AV37" s="4" t="s">
        <v>8</v>
      </c>
      <c r="AW37" s="4" t="s">
        <v>9</v>
      </c>
      <c r="AX37" s="4" t="s">
        <v>10</v>
      </c>
    </row>
    <row r="38" spans="1:50" s="4" customFormat="1" ht="32.25" customHeight="1" x14ac:dyDescent="0.2">
      <c r="B38" s="4" t="s">
        <v>41</v>
      </c>
      <c r="C38" s="4" t="s">
        <v>42</v>
      </c>
      <c r="D38" s="4" t="s">
        <v>43</v>
      </c>
      <c r="E38" s="4" t="s">
        <v>51</v>
      </c>
      <c r="F38" s="4" t="s">
        <v>45</v>
      </c>
      <c r="G38" s="4" t="s">
        <v>46</v>
      </c>
      <c r="H38" s="4" t="s">
        <v>47</v>
      </c>
      <c r="I38" s="4" t="s">
        <v>48</v>
      </c>
      <c r="J38" s="4" t="s">
        <v>49</v>
      </c>
      <c r="K38" s="4" t="s">
        <v>41</v>
      </c>
      <c r="L38" s="4" t="s">
        <v>42</v>
      </c>
      <c r="M38" s="4" t="s">
        <v>43</v>
      </c>
      <c r="N38" s="4" t="s">
        <v>51</v>
      </c>
      <c r="O38" s="4" t="s">
        <v>45</v>
      </c>
      <c r="P38" s="4" t="s">
        <v>46</v>
      </c>
      <c r="Q38" s="4" t="s">
        <v>47</v>
      </c>
      <c r="R38" s="4" t="s">
        <v>48</v>
      </c>
      <c r="S38" s="4" t="s">
        <v>49</v>
      </c>
      <c r="T38" s="4" t="s">
        <v>41</v>
      </c>
      <c r="U38" s="4" t="s">
        <v>42</v>
      </c>
      <c r="V38" s="4" t="s">
        <v>43</v>
      </c>
      <c r="W38" s="4" t="s">
        <v>51</v>
      </c>
      <c r="X38" s="4" t="s">
        <v>45</v>
      </c>
      <c r="Y38" s="4" t="s">
        <v>46</v>
      </c>
      <c r="Z38" s="4" t="s">
        <v>47</v>
      </c>
      <c r="AA38" s="4" t="s">
        <v>48</v>
      </c>
      <c r="AB38" s="4" t="s">
        <v>49</v>
      </c>
      <c r="AC38" s="4" t="s">
        <v>41</v>
      </c>
      <c r="AD38" s="4" t="s">
        <v>42</v>
      </c>
      <c r="AE38" s="4" t="s">
        <v>43</v>
      </c>
      <c r="AF38" s="4" t="s">
        <v>51</v>
      </c>
      <c r="AG38" s="4" t="s">
        <v>45</v>
      </c>
      <c r="AH38" s="4" t="s">
        <v>46</v>
      </c>
      <c r="AI38" s="4" t="s">
        <v>47</v>
      </c>
      <c r="AJ38" s="4" t="s">
        <v>48</v>
      </c>
      <c r="AK38" s="4" t="s">
        <v>49</v>
      </c>
      <c r="AL38" s="4" t="s">
        <v>41</v>
      </c>
      <c r="AM38" s="4" t="s">
        <v>42</v>
      </c>
      <c r="AN38" s="4" t="s">
        <v>43</v>
      </c>
      <c r="AO38" s="4" t="s">
        <v>51</v>
      </c>
      <c r="AP38" s="4" t="s">
        <v>45</v>
      </c>
      <c r="AQ38" s="4" t="s">
        <v>46</v>
      </c>
      <c r="AR38" s="4" t="s">
        <v>47</v>
      </c>
      <c r="AS38" s="4" t="s">
        <v>48</v>
      </c>
      <c r="AT38" s="4" t="s">
        <v>49</v>
      </c>
    </row>
    <row r="39" spans="1:50" s="4" customFormat="1" x14ac:dyDescent="0.2">
      <c r="A39" s="8" t="s">
        <v>35</v>
      </c>
      <c r="B39" s="16">
        <f>'Evolution RH en nombre'!B35</f>
        <v>1</v>
      </c>
      <c r="C39" s="16">
        <v>1</v>
      </c>
      <c r="D39" s="16">
        <v>1</v>
      </c>
      <c r="E39" s="16">
        <v>0</v>
      </c>
      <c r="F39" s="16">
        <v>1</v>
      </c>
      <c r="G39" s="16">
        <v>0</v>
      </c>
      <c r="H39" s="16">
        <v>0</v>
      </c>
      <c r="I39" s="16">
        <v>1</v>
      </c>
      <c r="J39" s="16">
        <v>1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  <c r="AE39" s="16">
        <v>0</v>
      </c>
      <c r="AF39" s="16">
        <v>0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6">
        <v>0</v>
      </c>
      <c r="AM39" s="16">
        <v>0</v>
      </c>
      <c r="AN39" s="16">
        <v>0</v>
      </c>
      <c r="AO39" s="16">
        <v>0</v>
      </c>
      <c r="AP39" s="16">
        <v>0</v>
      </c>
      <c r="AQ39" s="16">
        <v>0</v>
      </c>
      <c r="AR39" s="16">
        <v>0</v>
      </c>
      <c r="AS39" s="16">
        <v>0</v>
      </c>
      <c r="AT39" s="16">
        <v>0</v>
      </c>
      <c r="AW39" s="16">
        <f>'Evolution RH en nombre'!I35</f>
        <v>1500</v>
      </c>
      <c r="AX39" s="26">
        <f>'Evolution RH en nombre'!J35</f>
        <v>2025.0000000000002</v>
      </c>
    </row>
    <row r="40" spans="1:50" x14ac:dyDescent="0.2">
      <c r="A40" s="8" t="s">
        <v>36</v>
      </c>
      <c r="B40" s="16">
        <f>'Evolution RH en nombre'!B36</f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f>'Evolution RH en nombre'!C36</f>
        <v>1</v>
      </c>
      <c r="L40" s="1">
        <v>1</v>
      </c>
      <c r="M40" s="1">
        <v>1</v>
      </c>
      <c r="N40" s="1">
        <v>0</v>
      </c>
      <c r="O40" s="1">
        <v>1</v>
      </c>
      <c r="P40" s="1">
        <v>0</v>
      </c>
      <c r="Q40" s="1">
        <v>1</v>
      </c>
      <c r="R40" s="1">
        <v>0</v>
      </c>
      <c r="S40" s="1">
        <v>1</v>
      </c>
      <c r="T40" s="1">
        <f>'Evolution RH en nombre'!D36</f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f>'Evolution RH en nombre'!E36</f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f>'Evolution RH en nombre'!F36</f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V40" s="27">
        <v>0.03</v>
      </c>
      <c r="AW40" s="1">
        <f>'Evolution RH en nombre'!I36</f>
        <v>1200</v>
      </c>
      <c r="AX40" s="1">
        <f>'Evolution RH en nombre'!J36</f>
        <v>1620</v>
      </c>
    </row>
    <row r="41" spans="1:50" x14ac:dyDescent="0.2">
      <c r="A41" s="8" t="s">
        <v>37</v>
      </c>
      <c r="B41" s="16">
        <f>'Evolution RH en nombre'!B37</f>
        <v>0</v>
      </c>
      <c r="C41" s="1">
        <v>1</v>
      </c>
      <c r="D41" s="1">
        <v>1</v>
      </c>
      <c r="E41" s="1">
        <v>0</v>
      </c>
      <c r="F41" s="1">
        <v>1</v>
      </c>
      <c r="G41" s="1">
        <v>0</v>
      </c>
      <c r="H41" s="1">
        <v>0</v>
      </c>
      <c r="I41" s="1">
        <v>1</v>
      </c>
      <c r="J41" s="1">
        <v>0</v>
      </c>
      <c r="K41" s="1">
        <f>'Evolution RH en nombre'!C37</f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f>'Evolution RH en nombre'!D37</f>
        <v>1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f>'Evolution RH en nombre'!E37</f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f>'Evolution RH en nombre'!F37</f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W41" s="1">
        <f>'Evolution RH en nombre'!I37</f>
        <v>1000</v>
      </c>
      <c r="AX41" s="1">
        <f>'Evolution RH en nombre'!J37</f>
        <v>1350</v>
      </c>
    </row>
    <row r="42" spans="1:50" x14ac:dyDescent="0.2">
      <c r="A42" s="8" t="s">
        <v>38</v>
      </c>
      <c r="B42" s="16">
        <f>'Evolution RH en nombre'!B38</f>
        <v>1</v>
      </c>
      <c r="C42" s="1">
        <v>1</v>
      </c>
      <c r="D42" s="1">
        <v>1</v>
      </c>
      <c r="E42" s="1">
        <v>0</v>
      </c>
      <c r="F42" s="1">
        <v>0</v>
      </c>
      <c r="G42" s="1">
        <v>0</v>
      </c>
      <c r="H42" s="1">
        <v>0</v>
      </c>
      <c r="I42" s="1">
        <v>1</v>
      </c>
      <c r="J42" s="1">
        <v>0</v>
      </c>
      <c r="K42" s="1">
        <f>'Evolution RH en nombre'!C38</f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f>'Evolution RH en nombre'!D38</f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f>'Evolution RH en nombre'!E38</f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f>'Evolution RH en nombre'!F38</f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W42" s="1">
        <f>'Evolution RH en nombre'!I38</f>
        <v>750</v>
      </c>
      <c r="AX42" s="23">
        <f>'Evolution RH en nombre'!J38</f>
        <v>1012.5000000000001</v>
      </c>
    </row>
    <row r="43" spans="1:50" x14ac:dyDescent="0.2">
      <c r="A43" s="8" t="s">
        <v>39</v>
      </c>
      <c r="B43" s="16">
        <f>'Evolution RH en nombre'!B39</f>
        <v>0</v>
      </c>
      <c r="C43" s="1">
        <v>1</v>
      </c>
      <c r="D43" s="1">
        <v>1</v>
      </c>
      <c r="E43" s="1">
        <v>0</v>
      </c>
      <c r="F43" s="1">
        <v>0</v>
      </c>
      <c r="G43" s="1">
        <v>0</v>
      </c>
      <c r="H43" s="1">
        <v>0</v>
      </c>
      <c r="I43" s="1">
        <v>1</v>
      </c>
      <c r="J43" s="1">
        <v>0</v>
      </c>
      <c r="K43" s="1">
        <f>'Evolution RH en nombre'!C39</f>
        <v>1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f>'Evolution RH en nombre'!D39</f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f>'Evolution RH en nombre'!E39</f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f>'Evolution RH en nombre'!F39</f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W43" s="1">
        <f>'Evolution RH en nombre'!I39</f>
        <v>700</v>
      </c>
      <c r="AX43" s="1">
        <f>'Evolution RH en nombre'!J39</f>
        <v>945.00000000000011</v>
      </c>
    </row>
    <row r="44" spans="1:50" s="20" customFormat="1" x14ac:dyDescent="0.2">
      <c r="A44" s="21" t="s">
        <v>15</v>
      </c>
      <c r="B44" s="21">
        <f t="shared" ref="B44:AT44" si="3">SUM(B39:B43)</f>
        <v>2</v>
      </c>
      <c r="C44" s="21">
        <f t="shared" si="3"/>
        <v>4</v>
      </c>
      <c r="D44" s="21">
        <f t="shared" si="3"/>
        <v>4</v>
      </c>
      <c r="E44" s="21">
        <f t="shared" si="3"/>
        <v>0</v>
      </c>
      <c r="F44" s="21">
        <f t="shared" si="3"/>
        <v>2</v>
      </c>
      <c r="G44" s="21">
        <f t="shared" si="3"/>
        <v>0</v>
      </c>
      <c r="H44" s="21">
        <f t="shared" si="3"/>
        <v>0</v>
      </c>
      <c r="I44" s="21">
        <f t="shared" si="3"/>
        <v>4</v>
      </c>
      <c r="J44" s="21">
        <f t="shared" si="3"/>
        <v>1</v>
      </c>
      <c r="K44" s="21">
        <f t="shared" si="3"/>
        <v>2</v>
      </c>
      <c r="L44" s="21">
        <f t="shared" si="3"/>
        <v>1</v>
      </c>
      <c r="M44" s="21">
        <f t="shared" si="3"/>
        <v>1</v>
      </c>
      <c r="N44" s="21">
        <f t="shared" si="3"/>
        <v>0</v>
      </c>
      <c r="O44" s="21">
        <f t="shared" si="3"/>
        <v>1</v>
      </c>
      <c r="P44" s="21">
        <f t="shared" si="3"/>
        <v>0</v>
      </c>
      <c r="Q44" s="21">
        <f t="shared" si="3"/>
        <v>1</v>
      </c>
      <c r="R44" s="21">
        <f t="shared" si="3"/>
        <v>0</v>
      </c>
      <c r="S44" s="21">
        <f t="shared" si="3"/>
        <v>1</v>
      </c>
      <c r="T44" s="21">
        <f t="shared" si="3"/>
        <v>1</v>
      </c>
      <c r="U44" s="21">
        <f t="shared" si="3"/>
        <v>0</v>
      </c>
      <c r="V44" s="21">
        <f t="shared" si="3"/>
        <v>0</v>
      </c>
      <c r="W44" s="21">
        <f t="shared" si="3"/>
        <v>0</v>
      </c>
      <c r="X44" s="21">
        <f t="shared" si="3"/>
        <v>0</v>
      </c>
      <c r="Y44" s="21">
        <f t="shared" si="3"/>
        <v>0</v>
      </c>
      <c r="Z44" s="21">
        <f t="shared" si="3"/>
        <v>0</v>
      </c>
      <c r="AA44" s="21">
        <f t="shared" si="3"/>
        <v>0</v>
      </c>
      <c r="AB44" s="21">
        <f t="shared" si="3"/>
        <v>0</v>
      </c>
      <c r="AC44" s="21">
        <f t="shared" si="3"/>
        <v>0</v>
      </c>
      <c r="AD44" s="21">
        <f t="shared" si="3"/>
        <v>0</v>
      </c>
      <c r="AE44" s="21">
        <f t="shared" si="3"/>
        <v>0</v>
      </c>
      <c r="AF44" s="21">
        <f t="shared" si="3"/>
        <v>0</v>
      </c>
      <c r="AG44" s="21">
        <f t="shared" si="3"/>
        <v>0</v>
      </c>
      <c r="AH44" s="21">
        <f t="shared" si="3"/>
        <v>0</v>
      </c>
      <c r="AI44" s="21">
        <f t="shared" si="3"/>
        <v>0</v>
      </c>
      <c r="AJ44" s="21">
        <f t="shared" si="3"/>
        <v>0</v>
      </c>
      <c r="AK44" s="21">
        <f t="shared" si="3"/>
        <v>0</v>
      </c>
      <c r="AL44" s="21">
        <f t="shared" si="3"/>
        <v>0</v>
      </c>
      <c r="AM44" s="21">
        <f t="shared" si="3"/>
        <v>0</v>
      </c>
      <c r="AN44" s="21">
        <f t="shared" si="3"/>
        <v>0</v>
      </c>
      <c r="AO44" s="21">
        <f t="shared" si="3"/>
        <v>0</v>
      </c>
      <c r="AP44" s="21">
        <f t="shared" si="3"/>
        <v>0</v>
      </c>
      <c r="AQ44" s="21">
        <f t="shared" si="3"/>
        <v>0</v>
      </c>
      <c r="AR44" s="21">
        <f t="shared" si="3"/>
        <v>0</v>
      </c>
      <c r="AS44" s="21">
        <f t="shared" si="3"/>
        <v>0</v>
      </c>
      <c r="AT44" s="21">
        <f t="shared" si="3"/>
        <v>0</v>
      </c>
      <c r="AU44" s="21"/>
      <c r="AV44" s="21"/>
      <c r="AW44" s="21">
        <f>SUM(AW39:AW43)</f>
        <v>5150</v>
      </c>
      <c r="AX44" s="21">
        <f>SUM(AX39:AX43)</f>
        <v>6952.5</v>
      </c>
    </row>
    <row r="47" spans="1:50" s="4" customFormat="1" ht="30" customHeight="1" x14ac:dyDescent="0.2">
      <c r="A47" s="217" t="s">
        <v>52</v>
      </c>
      <c r="B47" s="216" t="s">
        <v>2</v>
      </c>
      <c r="C47" s="216"/>
      <c r="D47" s="216"/>
      <c r="E47" s="216"/>
      <c r="F47" s="216"/>
      <c r="G47" s="216"/>
      <c r="H47" s="216"/>
      <c r="I47" s="216"/>
      <c r="K47" s="216" t="s">
        <v>3</v>
      </c>
      <c r="L47" s="216"/>
      <c r="M47" s="216"/>
      <c r="N47" s="216"/>
      <c r="O47" s="216"/>
      <c r="P47" s="216"/>
      <c r="Q47" s="216"/>
      <c r="R47" s="216"/>
      <c r="T47" s="216" t="s">
        <v>4</v>
      </c>
      <c r="U47" s="216"/>
      <c r="V47" s="216"/>
      <c r="W47" s="216"/>
      <c r="X47" s="216"/>
      <c r="Y47" s="216"/>
      <c r="Z47" s="216"/>
      <c r="AA47" s="216"/>
      <c r="AC47" s="216" t="s">
        <v>5</v>
      </c>
      <c r="AD47" s="216"/>
      <c r="AE47" s="216"/>
      <c r="AF47" s="216"/>
      <c r="AG47" s="216"/>
      <c r="AH47" s="216"/>
      <c r="AI47" s="216"/>
      <c r="AJ47" s="216"/>
      <c r="AL47" s="216" t="s">
        <v>6</v>
      </c>
      <c r="AM47" s="216"/>
      <c r="AN47" s="216"/>
      <c r="AO47" s="216"/>
      <c r="AP47" s="216"/>
      <c r="AQ47" s="216"/>
      <c r="AR47" s="216"/>
      <c r="AS47" s="216"/>
      <c r="AU47" s="4" t="s">
        <v>7</v>
      </c>
      <c r="AV47" s="4" t="s">
        <v>8</v>
      </c>
      <c r="AW47" s="4" t="s">
        <v>9</v>
      </c>
      <c r="AX47" s="4" t="s">
        <v>10</v>
      </c>
    </row>
    <row r="48" spans="1:50" ht="32" x14ac:dyDescent="0.2">
      <c r="A48" s="217"/>
      <c r="B48" s="4" t="s">
        <v>41</v>
      </c>
      <c r="C48" s="4" t="s">
        <v>42</v>
      </c>
      <c r="D48" s="4" t="s">
        <v>43</v>
      </c>
      <c r="E48" s="4" t="s">
        <v>51</v>
      </c>
      <c r="F48" s="4" t="s">
        <v>45</v>
      </c>
      <c r="G48" s="4" t="s">
        <v>46</v>
      </c>
      <c r="H48" s="4" t="s">
        <v>47</v>
      </c>
      <c r="I48" s="4" t="s">
        <v>48</v>
      </c>
      <c r="J48" s="4" t="s">
        <v>49</v>
      </c>
      <c r="K48" s="4" t="s">
        <v>41</v>
      </c>
      <c r="L48" s="4" t="s">
        <v>42</v>
      </c>
      <c r="M48" s="4" t="s">
        <v>43</v>
      </c>
      <c r="N48" s="4" t="s">
        <v>51</v>
      </c>
      <c r="O48" s="4" t="s">
        <v>45</v>
      </c>
      <c r="P48" s="4" t="s">
        <v>46</v>
      </c>
      <c r="Q48" s="4" t="s">
        <v>47</v>
      </c>
      <c r="R48" s="4" t="s">
        <v>48</v>
      </c>
      <c r="S48" s="4" t="s">
        <v>49</v>
      </c>
      <c r="T48" s="4" t="s">
        <v>41</v>
      </c>
      <c r="U48" s="4" t="s">
        <v>42</v>
      </c>
      <c r="V48" s="4" t="s">
        <v>43</v>
      </c>
      <c r="W48" s="4" t="s">
        <v>51</v>
      </c>
      <c r="X48" s="4" t="s">
        <v>45</v>
      </c>
      <c r="Y48" s="4" t="s">
        <v>46</v>
      </c>
      <c r="Z48" s="4" t="s">
        <v>47</v>
      </c>
      <c r="AA48" s="4" t="s">
        <v>48</v>
      </c>
      <c r="AB48" s="4" t="s">
        <v>49</v>
      </c>
      <c r="AC48" s="4" t="s">
        <v>41</v>
      </c>
      <c r="AD48" s="4" t="s">
        <v>42</v>
      </c>
      <c r="AE48" s="4" t="s">
        <v>43</v>
      </c>
      <c r="AF48" s="4" t="s">
        <v>51</v>
      </c>
      <c r="AG48" s="4" t="s">
        <v>45</v>
      </c>
      <c r="AH48" s="4" t="s">
        <v>46</v>
      </c>
      <c r="AI48" s="4" t="s">
        <v>47</v>
      </c>
      <c r="AJ48" s="4" t="s">
        <v>48</v>
      </c>
      <c r="AK48" s="4" t="s">
        <v>49</v>
      </c>
      <c r="AL48" s="4" t="s">
        <v>41</v>
      </c>
      <c r="AM48" s="4" t="s">
        <v>42</v>
      </c>
      <c r="AN48" s="4" t="s">
        <v>43</v>
      </c>
      <c r="AO48" s="4" t="s">
        <v>51</v>
      </c>
      <c r="AP48" s="4" t="s">
        <v>45</v>
      </c>
      <c r="AQ48" s="4" t="s">
        <v>46</v>
      </c>
      <c r="AR48" s="4" t="s">
        <v>47</v>
      </c>
      <c r="AS48" s="4" t="s">
        <v>48</v>
      </c>
      <c r="AT48" s="4" t="s">
        <v>49</v>
      </c>
      <c r="AW48" s="4">
        <f>AW8+AW25+AW34+AW44</f>
        <v>31650</v>
      </c>
      <c r="AX48" s="28">
        <f>AX8+AX25+AX34+AX44</f>
        <v>42727.5</v>
      </c>
    </row>
    <row r="49" spans="1:46" x14ac:dyDescent="0.2">
      <c r="A49" s="29" t="s">
        <v>53</v>
      </c>
      <c r="B49" s="1">
        <f>B8+B25+B34+B44</f>
        <v>22</v>
      </c>
      <c r="C49" s="1">
        <f>C8+C25+C34+C44</f>
        <v>18</v>
      </c>
      <c r="D49" s="1">
        <f>D8+D25+D34+D44</f>
        <v>11</v>
      </c>
      <c r="E49" s="1">
        <f>E44+E34+E25+E8</f>
        <v>1</v>
      </c>
      <c r="F49" s="1">
        <f>F8+F25+F34+F44</f>
        <v>8</v>
      </c>
      <c r="G49" s="1">
        <f>G8+G25+G34+G44</f>
        <v>6</v>
      </c>
      <c r="H49" s="1">
        <f>H8+H25+H34+H44</f>
        <v>1</v>
      </c>
      <c r="I49" s="1">
        <f>I8+I25+I34+I44</f>
        <v>11</v>
      </c>
      <c r="J49" s="1">
        <f>J44+J34+J25+J8</f>
        <v>4</v>
      </c>
      <c r="K49" s="23">
        <f>K8+K25+K34+K44</f>
        <v>7.35</v>
      </c>
      <c r="L49" s="1">
        <f>L8+L25+L34+L44</f>
        <v>6</v>
      </c>
      <c r="M49" s="1">
        <f>M8+M25+M34+M44</f>
        <v>2</v>
      </c>
      <c r="N49" s="1">
        <f>N44+N34+N25+N8</f>
        <v>0</v>
      </c>
      <c r="O49" s="1">
        <f>O8+O25+O34+O44</f>
        <v>2</v>
      </c>
      <c r="P49" s="1">
        <f>P8+P25+P34+P44</f>
        <v>1</v>
      </c>
      <c r="Q49" s="1">
        <f>Q8+Q25+Q34+Q44</f>
        <v>2</v>
      </c>
      <c r="R49" s="1">
        <f>R8+R25+R34+R44</f>
        <v>1</v>
      </c>
      <c r="S49" s="1">
        <f>S44+S34+S25+S8</f>
        <v>5</v>
      </c>
      <c r="T49" s="23">
        <f>T8+T25+T34+T44</f>
        <v>11.5525</v>
      </c>
      <c r="U49" s="1">
        <f>U8+U25+U34+U44</f>
        <v>11</v>
      </c>
      <c r="V49" s="1">
        <f>V8+V25+V34+V44</f>
        <v>7</v>
      </c>
      <c r="W49" s="1">
        <f>W44+W34+W25+W8</f>
        <v>1</v>
      </c>
      <c r="X49" s="1">
        <f>X8+X25+X34+X44</f>
        <v>7</v>
      </c>
      <c r="Y49" s="1">
        <f>Y8+Y25+Y34+Y44</f>
        <v>2</v>
      </c>
      <c r="Z49" s="1">
        <f>Z8+Z25+Z34+Z44</f>
        <v>0</v>
      </c>
      <c r="AA49" s="1">
        <f>AA8+AA25+AA34+AA44</f>
        <v>7</v>
      </c>
      <c r="AB49" s="1">
        <f>AB44+AB34+AB25+AB8</f>
        <v>2</v>
      </c>
      <c r="AC49" s="23">
        <f>AC8+AC25+AC34+AC44</f>
        <v>1.7853749999999997</v>
      </c>
      <c r="AD49" s="1">
        <f>AD8+AD25+AD34+AD44</f>
        <v>2</v>
      </c>
      <c r="AE49" s="1">
        <f>AE8+AE25+AE34+AE44</f>
        <v>0</v>
      </c>
      <c r="AF49" s="1">
        <f>AF44+AF34+AF25+AF8</f>
        <v>0</v>
      </c>
      <c r="AG49" s="1">
        <f>AG8+AG25+AG34+AG44</f>
        <v>0</v>
      </c>
      <c r="AH49" s="1">
        <f>AH8+AH25+AH34+AH44</f>
        <v>2</v>
      </c>
      <c r="AI49" s="1">
        <f>AI8+AI25+AI34+AI44</f>
        <v>0</v>
      </c>
      <c r="AJ49" s="1">
        <f>AJ8+AJ25+AJ34+AJ44</f>
        <v>0</v>
      </c>
      <c r="AK49" s="1">
        <f>AK44+AK34+AK25+AK8</f>
        <v>0</v>
      </c>
      <c r="AL49" s="23">
        <f>AL8+AL25+AL34+AL44</f>
        <v>2.0531812499999997</v>
      </c>
      <c r="AM49" s="1">
        <f>AM8+AM25+AM34+AM44</f>
        <v>2</v>
      </c>
      <c r="AN49" s="1">
        <f>AN8+AN25+AN34+AN44</f>
        <v>0</v>
      </c>
      <c r="AO49" s="1">
        <f>AO44+AO34+AO25+AO8</f>
        <v>0</v>
      </c>
      <c r="AP49" s="1">
        <f>AP8+AP25+AP34+AP44</f>
        <v>0</v>
      </c>
      <c r="AQ49" s="1">
        <f>AQ8+AQ25+AQ34+AQ44</f>
        <v>2</v>
      </c>
      <c r="AR49" s="1">
        <f>AR8+AR25+AR34+AR44</f>
        <v>0</v>
      </c>
      <c r="AS49" s="1">
        <f>AS8+AS25+AS34+AS44</f>
        <v>0</v>
      </c>
      <c r="AT49" s="1">
        <f>AT44+AT34+AT25+AT8</f>
        <v>0</v>
      </c>
    </row>
    <row r="50" spans="1:46" x14ac:dyDescent="0.2">
      <c r="A50" t="s">
        <v>54</v>
      </c>
      <c r="B50" s="30"/>
      <c r="C50" s="1">
        <v>1200</v>
      </c>
      <c r="D50" s="1">
        <v>500</v>
      </c>
      <c r="E50" s="1">
        <v>1200</v>
      </c>
      <c r="F50" s="1">
        <v>400</v>
      </c>
      <c r="G50" s="1">
        <v>200</v>
      </c>
      <c r="H50" s="1">
        <v>35000</v>
      </c>
      <c r="I50" s="1">
        <v>150</v>
      </c>
      <c r="J50" s="1">
        <v>500</v>
      </c>
      <c r="K50" s="30"/>
      <c r="L50" s="1">
        <v>1200</v>
      </c>
      <c r="M50" s="1">
        <v>500</v>
      </c>
      <c r="N50" s="1">
        <v>1200</v>
      </c>
      <c r="O50" s="1">
        <v>400</v>
      </c>
      <c r="P50" s="1">
        <v>200</v>
      </c>
      <c r="Q50" s="1">
        <v>35000</v>
      </c>
      <c r="R50" s="1">
        <v>100</v>
      </c>
      <c r="S50" s="1">
        <v>500</v>
      </c>
      <c r="T50" s="30"/>
      <c r="U50" s="1">
        <v>1000</v>
      </c>
      <c r="V50" s="1">
        <v>500</v>
      </c>
      <c r="W50" s="1">
        <v>1200</v>
      </c>
      <c r="X50" s="1">
        <v>400</v>
      </c>
      <c r="Y50" s="1">
        <v>200</v>
      </c>
      <c r="Z50" s="1">
        <v>35000</v>
      </c>
      <c r="AA50" s="1">
        <v>100</v>
      </c>
      <c r="AB50" s="1">
        <v>500</v>
      </c>
      <c r="AC50" s="30"/>
      <c r="AD50" s="1">
        <v>1000</v>
      </c>
      <c r="AE50" s="1">
        <v>500</v>
      </c>
      <c r="AF50" s="1">
        <v>1200</v>
      </c>
      <c r="AG50" s="1">
        <v>400</v>
      </c>
      <c r="AH50" s="1">
        <v>200</v>
      </c>
      <c r="AI50" s="1">
        <v>35000</v>
      </c>
      <c r="AJ50" s="1">
        <v>100</v>
      </c>
      <c r="AK50" s="1">
        <v>500</v>
      </c>
      <c r="AL50" s="30"/>
      <c r="AM50" s="1">
        <v>1000</v>
      </c>
      <c r="AN50" s="1">
        <v>500</v>
      </c>
      <c r="AO50" s="1">
        <v>1200</v>
      </c>
      <c r="AP50" s="1">
        <v>400</v>
      </c>
      <c r="AQ50" s="1">
        <v>200</v>
      </c>
      <c r="AR50" s="1">
        <v>35000</v>
      </c>
      <c r="AS50" s="1">
        <v>100</v>
      </c>
      <c r="AT50" s="1">
        <v>500</v>
      </c>
    </row>
    <row r="51" spans="1:46" x14ac:dyDescent="0.2">
      <c r="A51" t="s">
        <v>55</v>
      </c>
      <c r="B51" s="30"/>
      <c r="C51" s="1">
        <f>C49*C50</f>
        <v>21600</v>
      </c>
      <c r="D51" s="1">
        <f>D49*D50</f>
        <v>5500</v>
      </c>
      <c r="E51" s="1">
        <f>E50*E49</f>
        <v>1200</v>
      </c>
      <c r="F51" s="1">
        <f>F49*F50</f>
        <v>3200</v>
      </c>
      <c r="G51" s="1">
        <f>G50*G49</f>
        <v>1200</v>
      </c>
      <c r="H51" s="1">
        <f>H49*H50</f>
        <v>35000</v>
      </c>
      <c r="I51" s="1">
        <f>I49*I50</f>
        <v>1650</v>
      </c>
      <c r="J51" s="1">
        <f>J50*J49</f>
        <v>2000</v>
      </c>
      <c r="K51" s="30"/>
      <c r="L51" s="1">
        <f>L49*L50</f>
        <v>7200</v>
      </c>
      <c r="M51" s="1">
        <f>M49*M50</f>
        <v>1000</v>
      </c>
      <c r="N51" s="1">
        <f>N50*N49</f>
        <v>0</v>
      </c>
      <c r="O51" s="1">
        <f>O49*O50</f>
        <v>800</v>
      </c>
      <c r="P51" s="1">
        <f>P50*P49</f>
        <v>200</v>
      </c>
      <c r="Q51" s="1">
        <f>Q49*Q50</f>
        <v>70000</v>
      </c>
      <c r="R51" s="1">
        <f>R49*R50</f>
        <v>100</v>
      </c>
      <c r="S51" s="1">
        <f>S50*S49</f>
        <v>2500</v>
      </c>
      <c r="T51" s="30"/>
      <c r="U51" s="1">
        <f t="shared" ref="U51:AB51" si="4">U50*U49</f>
        <v>11000</v>
      </c>
      <c r="V51" s="1">
        <f t="shared" si="4"/>
        <v>3500</v>
      </c>
      <c r="W51" s="1">
        <f t="shared" si="4"/>
        <v>1200</v>
      </c>
      <c r="X51" s="1">
        <f t="shared" si="4"/>
        <v>2800</v>
      </c>
      <c r="Y51" s="1">
        <f t="shared" si="4"/>
        <v>400</v>
      </c>
      <c r="Z51" s="1">
        <f t="shared" si="4"/>
        <v>0</v>
      </c>
      <c r="AA51" s="1">
        <f t="shared" si="4"/>
        <v>700</v>
      </c>
      <c r="AB51" s="1">
        <f t="shared" si="4"/>
        <v>1000</v>
      </c>
      <c r="AC51" s="30"/>
      <c r="AD51" s="1">
        <f t="shared" ref="AD51:AK51" si="5">AD50*AD49</f>
        <v>2000</v>
      </c>
      <c r="AE51" s="1">
        <f t="shared" si="5"/>
        <v>0</v>
      </c>
      <c r="AF51" s="1">
        <f t="shared" si="5"/>
        <v>0</v>
      </c>
      <c r="AG51" s="1">
        <f t="shared" si="5"/>
        <v>0</v>
      </c>
      <c r="AH51" s="1">
        <f t="shared" si="5"/>
        <v>400</v>
      </c>
      <c r="AI51" s="1">
        <f t="shared" si="5"/>
        <v>0</v>
      </c>
      <c r="AJ51" s="1">
        <f t="shared" si="5"/>
        <v>0</v>
      </c>
      <c r="AK51" s="1">
        <f t="shared" si="5"/>
        <v>0</v>
      </c>
      <c r="AL51" s="30"/>
      <c r="AM51" s="1">
        <f t="shared" ref="AM51:AT51" si="6">AM50*AM49</f>
        <v>2000</v>
      </c>
      <c r="AN51" s="1">
        <f t="shared" si="6"/>
        <v>0</v>
      </c>
      <c r="AO51" s="1">
        <f t="shared" si="6"/>
        <v>0</v>
      </c>
      <c r="AP51" s="1">
        <f t="shared" si="6"/>
        <v>0</v>
      </c>
      <c r="AQ51" s="1">
        <f t="shared" si="6"/>
        <v>400</v>
      </c>
      <c r="AR51" s="1">
        <f t="shared" si="6"/>
        <v>0</v>
      </c>
      <c r="AS51" s="1">
        <f t="shared" si="6"/>
        <v>0</v>
      </c>
      <c r="AT51" s="1">
        <f t="shared" si="6"/>
        <v>0</v>
      </c>
    </row>
    <row r="52" spans="1:46" x14ac:dyDescent="0.2">
      <c r="A52" t="s">
        <v>56</v>
      </c>
      <c r="B52" s="30"/>
      <c r="C52" s="1">
        <v>5</v>
      </c>
      <c r="D52" s="1">
        <v>5</v>
      </c>
      <c r="E52" s="1">
        <v>5</v>
      </c>
      <c r="F52" s="1">
        <v>5</v>
      </c>
      <c r="G52" s="1">
        <v>3</v>
      </c>
      <c r="H52" s="1">
        <v>5</v>
      </c>
      <c r="I52" s="1">
        <v>5</v>
      </c>
      <c r="J52" s="1">
        <v>5</v>
      </c>
      <c r="K52" s="1">
        <v>5</v>
      </c>
      <c r="L52" s="1">
        <v>5</v>
      </c>
      <c r="M52" s="1">
        <v>5</v>
      </c>
      <c r="N52" s="1">
        <v>5</v>
      </c>
      <c r="O52" s="1">
        <v>5</v>
      </c>
      <c r="P52" s="1">
        <v>3</v>
      </c>
      <c r="Q52" s="1">
        <v>5</v>
      </c>
      <c r="R52" s="1">
        <v>5</v>
      </c>
      <c r="S52" s="1">
        <v>5</v>
      </c>
      <c r="T52" s="1">
        <v>5</v>
      </c>
      <c r="U52" s="1">
        <v>5</v>
      </c>
      <c r="V52" s="1">
        <v>5</v>
      </c>
      <c r="W52" s="1">
        <v>5</v>
      </c>
      <c r="X52" s="1">
        <v>5</v>
      </c>
      <c r="Y52" s="1">
        <v>3</v>
      </c>
      <c r="Z52" s="1">
        <v>5</v>
      </c>
      <c r="AA52" s="1">
        <v>5</v>
      </c>
      <c r="AB52" s="1">
        <v>5</v>
      </c>
      <c r="AC52" s="1">
        <v>5</v>
      </c>
      <c r="AD52" s="1">
        <v>5</v>
      </c>
      <c r="AE52" s="1">
        <v>5</v>
      </c>
      <c r="AF52" s="1">
        <v>5</v>
      </c>
      <c r="AG52" s="1">
        <v>5</v>
      </c>
      <c r="AH52" s="1">
        <v>3</v>
      </c>
      <c r="AI52" s="1">
        <v>5</v>
      </c>
      <c r="AJ52" s="1">
        <v>5</v>
      </c>
      <c r="AK52" s="1">
        <v>5</v>
      </c>
      <c r="AL52" s="1">
        <v>5</v>
      </c>
      <c r="AM52" s="1">
        <v>5</v>
      </c>
      <c r="AN52" s="1">
        <v>5</v>
      </c>
      <c r="AO52" s="1">
        <v>5</v>
      </c>
      <c r="AP52" s="1">
        <v>5</v>
      </c>
      <c r="AQ52" s="1">
        <v>3</v>
      </c>
      <c r="AR52" s="1">
        <v>5</v>
      </c>
      <c r="AS52" s="1">
        <v>5</v>
      </c>
      <c r="AT52" s="1">
        <v>5</v>
      </c>
    </row>
  </sheetData>
  <mergeCells count="30">
    <mergeCell ref="A1:AX1"/>
    <mergeCell ref="B2:J2"/>
    <mergeCell ref="K2:R2"/>
    <mergeCell ref="T2:AA2"/>
    <mergeCell ref="AC2:AJ2"/>
    <mergeCell ref="AL2:AS2"/>
    <mergeCell ref="A10:AX10"/>
    <mergeCell ref="B11:I11"/>
    <mergeCell ref="K11:R11"/>
    <mergeCell ref="T11:AA11"/>
    <mergeCell ref="AC11:AJ11"/>
    <mergeCell ref="AL11:AS11"/>
    <mergeCell ref="A27:AX27"/>
    <mergeCell ref="B28:I28"/>
    <mergeCell ref="K28:R28"/>
    <mergeCell ref="T28:AA28"/>
    <mergeCell ref="AC28:AJ28"/>
    <mergeCell ref="AL28:AS28"/>
    <mergeCell ref="A36:AX36"/>
    <mergeCell ref="B37:I37"/>
    <mergeCell ref="K37:R37"/>
    <mergeCell ref="T37:AA37"/>
    <mergeCell ref="AC37:AJ37"/>
    <mergeCell ref="AL37:AS37"/>
    <mergeCell ref="AL47:AS47"/>
    <mergeCell ref="A47:A48"/>
    <mergeCell ref="B47:I47"/>
    <mergeCell ref="K47:R47"/>
    <mergeCell ref="T47:AA47"/>
    <mergeCell ref="AC47:AJ47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7"/>
  <sheetViews>
    <sheetView zoomScaleNormal="100" workbookViewId="0">
      <selection activeCell="H13" sqref="H13"/>
    </sheetView>
  </sheetViews>
  <sheetFormatPr baseColWidth="10" defaultColWidth="8.83203125" defaultRowHeight="15" x14ac:dyDescent="0.2"/>
  <cols>
    <col min="1" max="2" width="9.1640625" customWidth="1"/>
    <col min="3" max="3" width="8.6640625" customWidth="1"/>
    <col min="4" max="7" width="10.6640625" customWidth="1"/>
    <col min="8" max="1025" width="9.1640625" customWidth="1"/>
  </cols>
  <sheetData>
    <row r="1" spans="1:7" ht="15" customHeight="1" x14ac:dyDescent="0.2">
      <c r="A1" s="245" t="s">
        <v>324</v>
      </c>
      <c r="B1" s="249" t="s">
        <v>325</v>
      </c>
    </row>
    <row r="2" spans="1:7" x14ac:dyDescent="0.2">
      <c r="A2" s="245"/>
      <c r="B2" s="249"/>
      <c r="C2" s="1" t="s">
        <v>112</v>
      </c>
      <c r="D2" s="1" t="s">
        <v>113</v>
      </c>
      <c r="E2" s="1" t="s">
        <v>114</v>
      </c>
      <c r="F2" s="1" t="s">
        <v>115</v>
      </c>
      <c r="G2" s="1" t="s">
        <v>116</v>
      </c>
    </row>
    <row r="3" spans="1:7" x14ac:dyDescent="0.2">
      <c r="A3" t="s">
        <v>326</v>
      </c>
      <c r="B3" s="1">
        <v>5</v>
      </c>
      <c r="C3" s="1">
        <v>32438</v>
      </c>
      <c r="D3" s="1">
        <v>51750</v>
      </c>
      <c r="E3" s="1">
        <v>58500</v>
      </c>
      <c r="F3" s="1">
        <v>65250</v>
      </c>
      <c r="G3" s="1">
        <v>72000</v>
      </c>
    </row>
    <row r="4" spans="1:7" x14ac:dyDescent="0.2">
      <c r="A4" t="s">
        <v>327</v>
      </c>
      <c r="B4" s="1">
        <v>3</v>
      </c>
      <c r="C4" s="1">
        <v>34600</v>
      </c>
      <c r="D4" s="1">
        <v>55200</v>
      </c>
      <c r="E4" s="1">
        <v>62400</v>
      </c>
      <c r="F4" s="1">
        <v>69600</v>
      </c>
      <c r="G4" s="1">
        <v>76800</v>
      </c>
    </row>
    <row r="5" spans="1:7" x14ac:dyDescent="0.2">
      <c r="A5" t="s">
        <v>328</v>
      </c>
      <c r="B5" s="1">
        <v>1</v>
      </c>
      <c r="C5" s="1">
        <v>37844</v>
      </c>
      <c r="D5" s="1">
        <v>60375</v>
      </c>
      <c r="E5" s="1">
        <v>68250</v>
      </c>
      <c r="F5" s="1">
        <v>76125</v>
      </c>
      <c r="G5" s="1">
        <v>84000</v>
      </c>
    </row>
    <row r="6" spans="1:7" x14ac:dyDescent="0.2">
      <c r="A6" t="s">
        <v>293</v>
      </c>
    </row>
    <row r="7" spans="1:7" x14ac:dyDescent="0.2">
      <c r="A7" t="s">
        <v>294</v>
      </c>
    </row>
  </sheetData>
  <mergeCells count="2">
    <mergeCell ref="A1:A2"/>
    <mergeCell ref="B1:B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BT16"/>
  <sheetViews>
    <sheetView topLeftCell="C1" zoomScaleNormal="100" workbookViewId="0">
      <selection activeCell="H13" sqref="H13"/>
    </sheetView>
  </sheetViews>
  <sheetFormatPr baseColWidth="10" defaultColWidth="8.83203125" defaultRowHeight="15" x14ac:dyDescent="0.2"/>
  <cols>
    <col min="1" max="1" width="9.1640625" customWidth="1"/>
    <col min="2" max="2" width="21.83203125" customWidth="1"/>
    <col min="3" max="9" width="9.1640625" customWidth="1"/>
    <col min="10" max="10" width="14.5" customWidth="1"/>
    <col min="11" max="11" width="9.6640625" customWidth="1"/>
    <col min="12" max="1025" width="9.1640625" customWidth="1"/>
  </cols>
  <sheetData>
    <row r="1" spans="2:72" x14ac:dyDescent="0.2">
      <c r="J1" s="131"/>
      <c r="K1" s="131"/>
      <c r="L1" s="131"/>
      <c r="M1" s="233" t="s">
        <v>112</v>
      </c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 t="s">
        <v>113</v>
      </c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 t="s">
        <v>114</v>
      </c>
      <c r="AL1" s="233"/>
      <c r="AM1" s="233"/>
      <c r="AN1" s="233"/>
      <c r="AO1" s="233"/>
      <c r="AP1" s="233"/>
      <c r="AQ1" s="233"/>
      <c r="AR1" s="233"/>
      <c r="AS1" s="233"/>
      <c r="AT1" s="233"/>
      <c r="AU1" s="233"/>
      <c r="AV1" s="233"/>
      <c r="AW1" s="233" t="s">
        <v>115</v>
      </c>
      <c r="AX1" s="233"/>
      <c r="AY1" s="233"/>
      <c r="AZ1" s="233"/>
      <c r="BA1" s="233"/>
      <c r="BB1" s="233"/>
      <c r="BC1" s="233"/>
      <c r="BD1" s="233"/>
      <c r="BE1" s="233"/>
      <c r="BF1" s="233"/>
      <c r="BG1" s="233"/>
      <c r="BH1" s="233"/>
      <c r="BI1" s="233" t="s">
        <v>116</v>
      </c>
      <c r="BJ1" s="233"/>
      <c r="BK1" s="233"/>
      <c r="BL1" s="233"/>
      <c r="BM1" s="233"/>
      <c r="BN1" s="233"/>
      <c r="BO1" s="233"/>
      <c r="BP1" s="233"/>
      <c r="BQ1" s="233"/>
      <c r="BR1" s="233"/>
      <c r="BS1" s="233"/>
      <c r="BT1" s="233"/>
    </row>
    <row r="2" spans="2:72" s="1" customFormat="1" ht="64" x14ac:dyDescent="0.2">
      <c r="B2" s="34"/>
      <c r="C2" s="39" t="s">
        <v>275</v>
      </c>
      <c r="D2" s="39" t="s">
        <v>276</v>
      </c>
      <c r="E2" s="39" t="s">
        <v>277</v>
      </c>
      <c r="J2" s="14" t="s">
        <v>278</v>
      </c>
      <c r="K2" s="14" t="s">
        <v>279</v>
      </c>
      <c r="L2" s="14" t="s">
        <v>280</v>
      </c>
      <c r="M2" s="6" t="s">
        <v>145</v>
      </c>
      <c r="N2" s="6" t="s">
        <v>146</v>
      </c>
      <c r="O2" s="6" t="s">
        <v>147</v>
      </c>
      <c r="P2" s="6" t="s">
        <v>148</v>
      </c>
      <c r="Q2" s="6" t="s">
        <v>149</v>
      </c>
      <c r="R2" s="6" t="s">
        <v>150</v>
      </c>
      <c r="S2" s="6" t="s">
        <v>151</v>
      </c>
      <c r="T2" s="6" t="s">
        <v>256</v>
      </c>
      <c r="U2" s="6" t="s">
        <v>153</v>
      </c>
      <c r="V2" s="6" t="s">
        <v>154</v>
      </c>
      <c r="W2" s="6" t="s">
        <v>155</v>
      </c>
      <c r="X2" s="6" t="s">
        <v>257</v>
      </c>
      <c r="Y2" s="6" t="s">
        <v>145</v>
      </c>
      <c r="Z2" s="6" t="s">
        <v>146</v>
      </c>
      <c r="AA2" s="6" t="s">
        <v>147</v>
      </c>
      <c r="AB2" s="6" t="s">
        <v>148</v>
      </c>
      <c r="AC2" s="6" t="s">
        <v>149</v>
      </c>
      <c r="AD2" s="6" t="s">
        <v>150</v>
      </c>
      <c r="AE2" s="6" t="s">
        <v>151</v>
      </c>
      <c r="AF2" s="6" t="s">
        <v>256</v>
      </c>
      <c r="AG2" s="6" t="s">
        <v>153</v>
      </c>
      <c r="AH2" s="6" t="s">
        <v>154</v>
      </c>
      <c r="AI2" s="6" t="s">
        <v>155</v>
      </c>
      <c r="AJ2" s="6" t="s">
        <v>257</v>
      </c>
      <c r="AK2" s="6" t="s">
        <v>145</v>
      </c>
      <c r="AL2" s="6" t="s">
        <v>146</v>
      </c>
      <c r="AM2" s="6" t="s">
        <v>147</v>
      </c>
      <c r="AN2" s="6" t="s">
        <v>148</v>
      </c>
      <c r="AO2" s="6" t="s">
        <v>149</v>
      </c>
      <c r="AP2" s="6" t="s">
        <v>150</v>
      </c>
      <c r="AQ2" s="6" t="s">
        <v>151</v>
      </c>
      <c r="AR2" s="6" t="s">
        <v>256</v>
      </c>
      <c r="AS2" s="6" t="s">
        <v>153</v>
      </c>
      <c r="AT2" s="6" t="s">
        <v>154</v>
      </c>
      <c r="AU2" s="6" t="s">
        <v>155</v>
      </c>
      <c r="AV2" s="6" t="s">
        <v>257</v>
      </c>
      <c r="AW2" s="6" t="s">
        <v>145</v>
      </c>
      <c r="AX2" s="6" t="s">
        <v>146</v>
      </c>
      <c r="AY2" s="6" t="s">
        <v>147</v>
      </c>
      <c r="AZ2" s="6" t="s">
        <v>148</v>
      </c>
      <c r="BA2" s="6" t="s">
        <v>149</v>
      </c>
      <c r="BB2" s="6" t="s">
        <v>150</v>
      </c>
      <c r="BC2" s="6" t="s">
        <v>151</v>
      </c>
      <c r="BD2" s="6" t="s">
        <v>256</v>
      </c>
      <c r="BE2" s="6" t="s">
        <v>153</v>
      </c>
      <c r="BF2" s="6" t="s">
        <v>154</v>
      </c>
      <c r="BG2" s="6" t="s">
        <v>155</v>
      </c>
      <c r="BH2" s="6" t="s">
        <v>257</v>
      </c>
      <c r="BI2" s="6" t="s">
        <v>145</v>
      </c>
      <c r="BJ2" s="6" t="s">
        <v>146</v>
      </c>
      <c r="BK2" s="6" t="s">
        <v>147</v>
      </c>
      <c r="BL2" s="6" t="s">
        <v>148</v>
      </c>
      <c r="BM2" s="6" t="s">
        <v>149</v>
      </c>
      <c r="BN2" s="6" t="s">
        <v>150</v>
      </c>
      <c r="BO2" s="6" t="s">
        <v>151</v>
      </c>
      <c r="BP2" s="6" t="s">
        <v>256</v>
      </c>
      <c r="BQ2" s="6" t="s">
        <v>153</v>
      </c>
      <c r="BR2" s="6" t="s">
        <v>154</v>
      </c>
      <c r="BS2" s="6" t="s">
        <v>155</v>
      </c>
      <c r="BT2" s="6" t="s">
        <v>257</v>
      </c>
    </row>
    <row r="3" spans="2:72" ht="28" x14ac:dyDescent="0.2">
      <c r="B3" s="155" t="s">
        <v>282</v>
      </c>
      <c r="C3" s="42">
        <v>0.05</v>
      </c>
      <c r="D3" s="50">
        <v>0.1</v>
      </c>
      <c r="E3" s="42">
        <f>C3*1.3</f>
        <v>6.5000000000000002E-2</v>
      </c>
      <c r="G3" s="29" t="s">
        <v>283</v>
      </c>
      <c r="H3" s="1">
        <v>0.02</v>
      </c>
      <c r="J3" s="131" t="s">
        <v>284</v>
      </c>
      <c r="K3" s="131"/>
      <c r="L3" s="131"/>
      <c r="M3" s="182">
        <v>0.1</v>
      </c>
      <c r="N3" s="182">
        <v>0.2</v>
      </c>
      <c r="O3" s="182">
        <v>0.3</v>
      </c>
      <c r="P3" s="182">
        <v>0.5</v>
      </c>
      <c r="Q3" s="182">
        <v>0.7</v>
      </c>
      <c r="R3" s="182">
        <v>0.85</v>
      </c>
      <c r="S3" s="182">
        <v>1</v>
      </c>
      <c r="T3" s="182">
        <v>1</v>
      </c>
      <c r="U3" s="182">
        <v>1</v>
      </c>
      <c r="V3" s="182">
        <v>1</v>
      </c>
      <c r="W3" s="182">
        <v>1</v>
      </c>
      <c r="X3" s="182">
        <v>1</v>
      </c>
      <c r="Y3" s="182">
        <v>1.1499999999999999</v>
      </c>
      <c r="Z3" s="182">
        <v>1.1499999999999999</v>
      </c>
      <c r="AA3" s="182">
        <v>1.1499999999999999</v>
      </c>
      <c r="AB3" s="182">
        <v>1.1499999999999999</v>
      </c>
      <c r="AC3" s="182">
        <v>1.1499999999999999</v>
      </c>
      <c r="AD3" s="182">
        <v>1.1499999999999999</v>
      </c>
      <c r="AE3" s="182">
        <v>1.1499999999999999</v>
      </c>
      <c r="AF3" s="182">
        <v>1.1499999999999999</v>
      </c>
      <c r="AG3" s="182">
        <v>1.1499999999999999</v>
      </c>
      <c r="AH3" s="182">
        <v>1.1499999999999999</v>
      </c>
      <c r="AI3" s="182">
        <v>1.1499999999999999</v>
      </c>
      <c r="AJ3" s="182">
        <v>1.1499999999999999</v>
      </c>
      <c r="AK3" s="182">
        <v>1.3</v>
      </c>
      <c r="AL3" s="182">
        <v>1.3</v>
      </c>
      <c r="AM3" s="182">
        <v>1.3</v>
      </c>
      <c r="AN3" s="182">
        <v>1.3</v>
      </c>
      <c r="AO3" s="182">
        <v>1.3</v>
      </c>
      <c r="AP3" s="182">
        <v>1.3</v>
      </c>
      <c r="AQ3" s="182">
        <v>1.3</v>
      </c>
      <c r="AR3" s="182">
        <v>1.3</v>
      </c>
      <c r="AS3" s="182">
        <v>1.3</v>
      </c>
      <c r="AT3" s="182">
        <v>1.3</v>
      </c>
      <c r="AU3" s="182">
        <v>1.3</v>
      </c>
      <c r="AV3" s="182">
        <v>1.3</v>
      </c>
      <c r="AW3" s="182">
        <v>1.45</v>
      </c>
      <c r="AX3" s="182">
        <v>1.45</v>
      </c>
      <c r="AY3" s="182">
        <v>1.45</v>
      </c>
      <c r="AZ3" s="182">
        <v>1.45</v>
      </c>
      <c r="BA3" s="182">
        <v>1.45</v>
      </c>
      <c r="BB3" s="182">
        <v>1.45</v>
      </c>
      <c r="BC3" s="182">
        <v>1.45</v>
      </c>
      <c r="BD3" s="182">
        <v>1.45</v>
      </c>
      <c r="BE3" s="182">
        <v>1.45</v>
      </c>
      <c r="BF3" s="182">
        <v>1.45</v>
      </c>
      <c r="BG3" s="182">
        <v>1.45</v>
      </c>
      <c r="BH3" s="182">
        <v>1.45</v>
      </c>
      <c r="BI3" s="182">
        <v>1.6</v>
      </c>
      <c r="BJ3" s="182">
        <v>1.6</v>
      </c>
      <c r="BK3" s="182">
        <v>1.6</v>
      </c>
      <c r="BL3" s="182">
        <v>1.6</v>
      </c>
      <c r="BM3" s="182">
        <v>1.6</v>
      </c>
      <c r="BN3" s="182">
        <v>1.6</v>
      </c>
      <c r="BO3" s="182">
        <v>1.6</v>
      </c>
      <c r="BP3" s="182">
        <v>1.6</v>
      </c>
      <c r="BQ3" s="182">
        <v>1.6</v>
      </c>
      <c r="BR3" s="182">
        <v>1.6</v>
      </c>
      <c r="BS3" s="182">
        <v>1.6</v>
      </c>
      <c r="BT3" s="182">
        <v>1.6</v>
      </c>
    </row>
    <row r="4" spans="2:72" ht="18" customHeight="1" x14ac:dyDescent="0.2">
      <c r="B4" s="155" t="s">
        <v>285</v>
      </c>
      <c r="C4" s="42">
        <f>H7</f>
        <v>0.125</v>
      </c>
      <c r="D4" s="50">
        <v>0.1</v>
      </c>
      <c r="E4" s="42">
        <f>C4*1.3</f>
        <v>0.16250000000000001</v>
      </c>
      <c r="G4" t="s">
        <v>286</v>
      </c>
      <c r="H4" s="1">
        <v>2.5</v>
      </c>
      <c r="J4" s="131" t="s">
        <v>287</v>
      </c>
      <c r="K4" s="131">
        <v>100</v>
      </c>
      <c r="L4" s="131">
        <f>K4*8</f>
        <v>800</v>
      </c>
      <c r="M4" s="131">
        <f t="shared" ref="M4:AR4" si="0">$L$4*M3</f>
        <v>80</v>
      </c>
      <c r="N4" s="131">
        <f t="shared" si="0"/>
        <v>160</v>
      </c>
      <c r="O4" s="131">
        <f t="shared" si="0"/>
        <v>240</v>
      </c>
      <c r="P4" s="131">
        <f t="shared" si="0"/>
        <v>400</v>
      </c>
      <c r="Q4" s="131">
        <f t="shared" si="0"/>
        <v>560</v>
      </c>
      <c r="R4" s="131">
        <f t="shared" si="0"/>
        <v>680</v>
      </c>
      <c r="S4" s="131">
        <f t="shared" si="0"/>
        <v>800</v>
      </c>
      <c r="T4" s="131">
        <f t="shared" si="0"/>
        <v>800</v>
      </c>
      <c r="U4" s="131">
        <f t="shared" si="0"/>
        <v>800</v>
      </c>
      <c r="V4" s="131">
        <f t="shared" si="0"/>
        <v>800</v>
      </c>
      <c r="W4" s="131">
        <f t="shared" si="0"/>
        <v>800</v>
      </c>
      <c r="X4" s="131">
        <f t="shared" si="0"/>
        <v>800</v>
      </c>
      <c r="Y4" s="131">
        <f t="shared" si="0"/>
        <v>919.99999999999989</v>
      </c>
      <c r="Z4" s="131">
        <f t="shared" si="0"/>
        <v>919.99999999999989</v>
      </c>
      <c r="AA4" s="131">
        <f t="shared" si="0"/>
        <v>919.99999999999989</v>
      </c>
      <c r="AB4" s="131">
        <f t="shared" si="0"/>
        <v>919.99999999999989</v>
      </c>
      <c r="AC4" s="131">
        <f t="shared" si="0"/>
        <v>919.99999999999989</v>
      </c>
      <c r="AD4" s="131">
        <f t="shared" si="0"/>
        <v>919.99999999999989</v>
      </c>
      <c r="AE4" s="131">
        <f t="shared" si="0"/>
        <v>919.99999999999989</v>
      </c>
      <c r="AF4" s="131">
        <f t="shared" si="0"/>
        <v>919.99999999999989</v>
      </c>
      <c r="AG4" s="131">
        <f t="shared" si="0"/>
        <v>919.99999999999989</v>
      </c>
      <c r="AH4" s="131">
        <f t="shared" si="0"/>
        <v>919.99999999999989</v>
      </c>
      <c r="AI4" s="131">
        <f t="shared" si="0"/>
        <v>919.99999999999989</v>
      </c>
      <c r="AJ4" s="131">
        <f t="shared" si="0"/>
        <v>919.99999999999989</v>
      </c>
      <c r="AK4" s="131">
        <f t="shared" si="0"/>
        <v>1040</v>
      </c>
      <c r="AL4" s="131">
        <f t="shared" si="0"/>
        <v>1040</v>
      </c>
      <c r="AM4" s="131">
        <f t="shared" si="0"/>
        <v>1040</v>
      </c>
      <c r="AN4" s="131">
        <f t="shared" si="0"/>
        <v>1040</v>
      </c>
      <c r="AO4" s="131">
        <f t="shared" si="0"/>
        <v>1040</v>
      </c>
      <c r="AP4" s="131">
        <f t="shared" si="0"/>
        <v>1040</v>
      </c>
      <c r="AQ4" s="131">
        <f t="shared" si="0"/>
        <v>1040</v>
      </c>
      <c r="AR4" s="131">
        <f t="shared" si="0"/>
        <v>1040</v>
      </c>
      <c r="AS4" s="131">
        <f t="shared" ref="AS4:BT4" si="1">$L$4*AS3</f>
        <v>1040</v>
      </c>
      <c r="AT4" s="131">
        <f t="shared" si="1"/>
        <v>1040</v>
      </c>
      <c r="AU4" s="131">
        <f t="shared" si="1"/>
        <v>1040</v>
      </c>
      <c r="AV4" s="131">
        <f t="shared" si="1"/>
        <v>1040</v>
      </c>
      <c r="AW4" s="131">
        <f t="shared" si="1"/>
        <v>1160</v>
      </c>
      <c r="AX4" s="131">
        <f t="shared" si="1"/>
        <v>1160</v>
      </c>
      <c r="AY4" s="131">
        <f t="shared" si="1"/>
        <v>1160</v>
      </c>
      <c r="AZ4" s="131">
        <f t="shared" si="1"/>
        <v>1160</v>
      </c>
      <c r="BA4" s="131">
        <f t="shared" si="1"/>
        <v>1160</v>
      </c>
      <c r="BB4" s="131">
        <f t="shared" si="1"/>
        <v>1160</v>
      </c>
      <c r="BC4" s="131">
        <f t="shared" si="1"/>
        <v>1160</v>
      </c>
      <c r="BD4" s="131">
        <f t="shared" si="1"/>
        <v>1160</v>
      </c>
      <c r="BE4" s="131">
        <f t="shared" si="1"/>
        <v>1160</v>
      </c>
      <c r="BF4" s="131">
        <f t="shared" si="1"/>
        <v>1160</v>
      </c>
      <c r="BG4" s="131">
        <f t="shared" si="1"/>
        <v>1160</v>
      </c>
      <c r="BH4" s="131">
        <f t="shared" si="1"/>
        <v>1160</v>
      </c>
      <c r="BI4" s="131">
        <f t="shared" si="1"/>
        <v>1280</v>
      </c>
      <c r="BJ4" s="131">
        <f t="shared" si="1"/>
        <v>1280</v>
      </c>
      <c r="BK4" s="131">
        <f t="shared" si="1"/>
        <v>1280</v>
      </c>
      <c r="BL4" s="131">
        <f t="shared" si="1"/>
        <v>1280</v>
      </c>
      <c r="BM4" s="131">
        <f t="shared" si="1"/>
        <v>1280</v>
      </c>
      <c r="BN4" s="131">
        <f t="shared" si="1"/>
        <v>1280</v>
      </c>
      <c r="BO4" s="131">
        <f t="shared" si="1"/>
        <v>1280</v>
      </c>
      <c r="BP4" s="131">
        <f t="shared" si="1"/>
        <v>1280</v>
      </c>
      <c r="BQ4" s="131">
        <f t="shared" si="1"/>
        <v>1280</v>
      </c>
      <c r="BR4" s="131">
        <f t="shared" si="1"/>
        <v>1280</v>
      </c>
      <c r="BS4" s="131">
        <f t="shared" si="1"/>
        <v>1280</v>
      </c>
      <c r="BT4" s="131">
        <f t="shared" si="1"/>
        <v>1280</v>
      </c>
    </row>
    <row r="5" spans="2:72" x14ac:dyDescent="0.2">
      <c r="G5" s="122" t="s">
        <v>288</v>
      </c>
      <c r="H5" s="1">
        <f>H3*H4</f>
        <v>0.05</v>
      </c>
      <c r="J5" s="131" t="s">
        <v>289</v>
      </c>
      <c r="K5" s="131">
        <v>50</v>
      </c>
      <c r="L5" s="131">
        <f>K5*8</f>
        <v>400</v>
      </c>
      <c r="M5" s="131">
        <f t="shared" ref="M5:AR5" si="2">$L$5*M3</f>
        <v>40</v>
      </c>
      <c r="N5" s="131">
        <f t="shared" si="2"/>
        <v>80</v>
      </c>
      <c r="O5" s="131">
        <f t="shared" si="2"/>
        <v>120</v>
      </c>
      <c r="P5" s="131">
        <f t="shared" si="2"/>
        <v>200</v>
      </c>
      <c r="Q5" s="131">
        <f t="shared" si="2"/>
        <v>280</v>
      </c>
      <c r="R5" s="131">
        <f t="shared" si="2"/>
        <v>340</v>
      </c>
      <c r="S5" s="131">
        <f t="shared" si="2"/>
        <v>400</v>
      </c>
      <c r="T5" s="131">
        <f t="shared" si="2"/>
        <v>400</v>
      </c>
      <c r="U5" s="131">
        <f t="shared" si="2"/>
        <v>400</v>
      </c>
      <c r="V5" s="131">
        <f t="shared" si="2"/>
        <v>400</v>
      </c>
      <c r="W5" s="131">
        <f t="shared" si="2"/>
        <v>400</v>
      </c>
      <c r="X5" s="131">
        <f t="shared" si="2"/>
        <v>400</v>
      </c>
      <c r="Y5" s="131">
        <f t="shared" si="2"/>
        <v>459.99999999999994</v>
      </c>
      <c r="Z5" s="131">
        <f t="shared" si="2"/>
        <v>459.99999999999994</v>
      </c>
      <c r="AA5" s="131">
        <f t="shared" si="2"/>
        <v>459.99999999999994</v>
      </c>
      <c r="AB5" s="131">
        <f t="shared" si="2"/>
        <v>459.99999999999994</v>
      </c>
      <c r="AC5" s="131">
        <f t="shared" si="2"/>
        <v>459.99999999999994</v>
      </c>
      <c r="AD5" s="131">
        <f t="shared" si="2"/>
        <v>459.99999999999994</v>
      </c>
      <c r="AE5" s="131">
        <f t="shared" si="2"/>
        <v>459.99999999999994</v>
      </c>
      <c r="AF5" s="131">
        <f t="shared" si="2"/>
        <v>459.99999999999994</v>
      </c>
      <c r="AG5" s="131">
        <f t="shared" si="2"/>
        <v>459.99999999999994</v>
      </c>
      <c r="AH5" s="131">
        <f t="shared" si="2"/>
        <v>459.99999999999994</v>
      </c>
      <c r="AI5" s="131">
        <f t="shared" si="2"/>
        <v>459.99999999999994</v>
      </c>
      <c r="AJ5" s="131">
        <f t="shared" si="2"/>
        <v>459.99999999999994</v>
      </c>
      <c r="AK5" s="131">
        <f t="shared" si="2"/>
        <v>520</v>
      </c>
      <c r="AL5" s="131">
        <f t="shared" si="2"/>
        <v>520</v>
      </c>
      <c r="AM5" s="131">
        <f t="shared" si="2"/>
        <v>520</v>
      </c>
      <c r="AN5" s="131">
        <f t="shared" si="2"/>
        <v>520</v>
      </c>
      <c r="AO5" s="131">
        <f t="shared" si="2"/>
        <v>520</v>
      </c>
      <c r="AP5" s="131">
        <f t="shared" si="2"/>
        <v>520</v>
      </c>
      <c r="AQ5" s="131">
        <f t="shared" si="2"/>
        <v>520</v>
      </c>
      <c r="AR5" s="131">
        <f t="shared" si="2"/>
        <v>520</v>
      </c>
      <c r="AS5" s="131">
        <f t="shared" ref="AS5:BT5" si="3">$L$5*AS3</f>
        <v>520</v>
      </c>
      <c r="AT5" s="131">
        <f t="shared" si="3"/>
        <v>520</v>
      </c>
      <c r="AU5" s="131">
        <f t="shared" si="3"/>
        <v>520</v>
      </c>
      <c r="AV5" s="131">
        <f t="shared" si="3"/>
        <v>520</v>
      </c>
      <c r="AW5" s="131">
        <f t="shared" si="3"/>
        <v>580</v>
      </c>
      <c r="AX5" s="131">
        <f t="shared" si="3"/>
        <v>580</v>
      </c>
      <c r="AY5" s="131">
        <f t="shared" si="3"/>
        <v>580</v>
      </c>
      <c r="AZ5" s="131">
        <f t="shared" si="3"/>
        <v>580</v>
      </c>
      <c r="BA5" s="131">
        <f t="shared" si="3"/>
        <v>580</v>
      </c>
      <c r="BB5" s="131">
        <f t="shared" si="3"/>
        <v>580</v>
      </c>
      <c r="BC5" s="131">
        <f t="shared" si="3"/>
        <v>580</v>
      </c>
      <c r="BD5" s="131">
        <f t="shared" si="3"/>
        <v>580</v>
      </c>
      <c r="BE5" s="131">
        <f t="shared" si="3"/>
        <v>580</v>
      </c>
      <c r="BF5" s="131">
        <f t="shared" si="3"/>
        <v>580</v>
      </c>
      <c r="BG5" s="131">
        <f t="shared" si="3"/>
        <v>580</v>
      </c>
      <c r="BH5" s="131">
        <f t="shared" si="3"/>
        <v>580</v>
      </c>
      <c r="BI5" s="131">
        <f t="shared" si="3"/>
        <v>640</v>
      </c>
      <c r="BJ5" s="131">
        <f t="shared" si="3"/>
        <v>640</v>
      </c>
      <c r="BK5" s="131">
        <f t="shared" si="3"/>
        <v>640</v>
      </c>
      <c r="BL5" s="131">
        <f t="shared" si="3"/>
        <v>640</v>
      </c>
      <c r="BM5" s="131">
        <f t="shared" si="3"/>
        <v>640</v>
      </c>
      <c r="BN5" s="131">
        <f t="shared" si="3"/>
        <v>640</v>
      </c>
      <c r="BO5" s="131">
        <f t="shared" si="3"/>
        <v>640</v>
      </c>
      <c r="BP5" s="131">
        <f t="shared" si="3"/>
        <v>640</v>
      </c>
      <c r="BQ5" s="131">
        <f t="shared" si="3"/>
        <v>640</v>
      </c>
      <c r="BR5" s="131">
        <f t="shared" si="3"/>
        <v>640</v>
      </c>
      <c r="BS5" s="131">
        <f t="shared" si="3"/>
        <v>640</v>
      </c>
      <c r="BT5" s="131">
        <f t="shared" si="3"/>
        <v>640</v>
      </c>
    </row>
    <row r="6" spans="2:72" x14ac:dyDescent="0.2">
      <c r="J6" s="131" t="s">
        <v>290</v>
      </c>
      <c r="K6" s="131">
        <v>25</v>
      </c>
      <c r="L6" s="131">
        <f>K6*8</f>
        <v>200</v>
      </c>
      <c r="M6" s="131">
        <f t="shared" ref="M6:AR6" si="4">$L$6*M3</f>
        <v>20</v>
      </c>
      <c r="N6" s="131">
        <f t="shared" si="4"/>
        <v>40</v>
      </c>
      <c r="O6" s="131">
        <f t="shared" si="4"/>
        <v>60</v>
      </c>
      <c r="P6" s="131">
        <f t="shared" si="4"/>
        <v>100</v>
      </c>
      <c r="Q6" s="131">
        <f t="shared" si="4"/>
        <v>140</v>
      </c>
      <c r="R6" s="131">
        <f t="shared" si="4"/>
        <v>170</v>
      </c>
      <c r="S6" s="131">
        <f t="shared" si="4"/>
        <v>200</v>
      </c>
      <c r="T6" s="131">
        <f t="shared" si="4"/>
        <v>200</v>
      </c>
      <c r="U6" s="131">
        <f t="shared" si="4"/>
        <v>200</v>
      </c>
      <c r="V6" s="131">
        <f t="shared" si="4"/>
        <v>200</v>
      </c>
      <c r="W6" s="131">
        <f t="shared" si="4"/>
        <v>200</v>
      </c>
      <c r="X6" s="131">
        <f t="shared" si="4"/>
        <v>200</v>
      </c>
      <c r="Y6" s="131">
        <f t="shared" si="4"/>
        <v>229.99999999999997</v>
      </c>
      <c r="Z6" s="131">
        <f t="shared" si="4"/>
        <v>229.99999999999997</v>
      </c>
      <c r="AA6" s="131">
        <f t="shared" si="4"/>
        <v>229.99999999999997</v>
      </c>
      <c r="AB6" s="131">
        <f t="shared" si="4"/>
        <v>229.99999999999997</v>
      </c>
      <c r="AC6" s="131">
        <f t="shared" si="4"/>
        <v>229.99999999999997</v>
      </c>
      <c r="AD6" s="131">
        <f t="shared" si="4"/>
        <v>229.99999999999997</v>
      </c>
      <c r="AE6" s="131">
        <f t="shared" si="4"/>
        <v>229.99999999999997</v>
      </c>
      <c r="AF6" s="131">
        <f t="shared" si="4"/>
        <v>229.99999999999997</v>
      </c>
      <c r="AG6" s="131">
        <f t="shared" si="4"/>
        <v>229.99999999999997</v>
      </c>
      <c r="AH6" s="131">
        <f t="shared" si="4"/>
        <v>229.99999999999997</v>
      </c>
      <c r="AI6" s="131">
        <f t="shared" si="4"/>
        <v>229.99999999999997</v>
      </c>
      <c r="AJ6" s="131">
        <f t="shared" si="4"/>
        <v>229.99999999999997</v>
      </c>
      <c r="AK6" s="131">
        <f t="shared" si="4"/>
        <v>260</v>
      </c>
      <c r="AL6" s="131">
        <f t="shared" si="4"/>
        <v>260</v>
      </c>
      <c r="AM6" s="131">
        <f t="shared" si="4"/>
        <v>260</v>
      </c>
      <c r="AN6" s="131">
        <f t="shared" si="4"/>
        <v>260</v>
      </c>
      <c r="AO6" s="131">
        <f t="shared" si="4"/>
        <v>260</v>
      </c>
      <c r="AP6" s="131">
        <f t="shared" si="4"/>
        <v>260</v>
      </c>
      <c r="AQ6" s="131">
        <f t="shared" si="4"/>
        <v>260</v>
      </c>
      <c r="AR6" s="131">
        <f t="shared" si="4"/>
        <v>260</v>
      </c>
      <c r="AS6" s="131">
        <f t="shared" ref="AS6:BT6" si="5">$L$6*AS3</f>
        <v>260</v>
      </c>
      <c r="AT6" s="131">
        <f t="shared" si="5"/>
        <v>260</v>
      </c>
      <c r="AU6" s="131">
        <f t="shared" si="5"/>
        <v>260</v>
      </c>
      <c r="AV6" s="131">
        <f t="shared" si="5"/>
        <v>260</v>
      </c>
      <c r="AW6" s="131">
        <f t="shared" si="5"/>
        <v>290</v>
      </c>
      <c r="AX6" s="131">
        <f t="shared" si="5"/>
        <v>290</v>
      </c>
      <c r="AY6" s="131">
        <f t="shared" si="5"/>
        <v>290</v>
      </c>
      <c r="AZ6" s="131">
        <f t="shared" si="5"/>
        <v>290</v>
      </c>
      <c r="BA6" s="131">
        <f t="shared" si="5"/>
        <v>290</v>
      </c>
      <c r="BB6" s="131">
        <f t="shared" si="5"/>
        <v>290</v>
      </c>
      <c r="BC6" s="131">
        <f t="shared" si="5"/>
        <v>290</v>
      </c>
      <c r="BD6" s="131">
        <f t="shared" si="5"/>
        <v>290</v>
      </c>
      <c r="BE6" s="131">
        <f t="shared" si="5"/>
        <v>290</v>
      </c>
      <c r="BF6" s="131">
        <f t="shared" si="5"/>
        <v>290</v>
      </c>
      <c r="BG6" s="131">
        <f t="shared" si="5"/>
        <v>290</v>
      </c>
      <c r="BH6" s="131">
        <f t="shared" si="5"/>
        <v>290</v>
      </c>
      <c r="BI6" s="131">
        <f t="shared" si="5"/>
        <v>320</v>
      </c>
      <c r="BJ6" s="131">
        <f t="shared" si="5"/>
        <v>320</v>
      </c>
      <c r="BK6" s="131">
        <f t="shared" si="5"/>
        <v>320</v>
      </c>
      <c r="BL6" s="131">
        <f t="shared" si="5"/>
        <v>320</v>
      </c>
      <c r="BM6" s="131">
        <f t="shared" si="5"/>
        <v>320</v>
      </c>
      <c r="BN6" s="131">
        <f t="shared" si="5"/>
        <v>320</v>
      </c>
      <c r="BO6" s="131">
        <f t="shared" si="5"/>
        <v>320</v>
      </c>
      <c r="BP6" s="131">
        <f t="shared" si="5"/>
        <v>320</v>
      </c>
      <c r="BQ6" s="131">
        <f t="shared" si="5"/>
        <v>320</v>
      </c>
      <c r="BR6" s="131">
        <f t="shared" si="5"/>
        <v>320</v>
      </c>
      <c r="BS6" s="131">
        <f t="shared" si="5"/>
        <v>320</v>
      </c>
      <c r="BT6" s="131">
        <f t="shared" si="5"/>
        <v>320</v>
      </c>
    </row>
    <row r="7" spans="2:72" x14ac:dyDescent="0.2">
      <c r="G7" t="s">
        <v>291</v>
      </c>
      <c r="H7">
        <f>0.05*H4</f>
        <v>0.125</v>
      </c>
      <c r="J7" s="135" t="s">
        <v>263</v>
      </c>
      <c r="K7" s="135"/>
      <c r="L7" s="135"/>
      <c r="M7" s="135">
        <v>3</v>
      </c>
    </row>
    <row r="10" spans="2:72" ht="15" customHeight="1" x14ac:dyDescent="0.2">
      <c r="J10" s="224" t="s">
        <v>292</v>
      </c>
      <c r="K10" s="232" t="s">
        <v>279</v>
      </c>
      <c r="L10" s="232" t="s">
        <v>280</v>
      </c>
      <c r="M10" s="233" t="s">
        <v>112</v>
      </c>
      <c r="N10" s="233"/>
      <c r="O10" s="233"/>
      <c r="P10" s="233"/>
      <c r="Q10" s="233"/>
      <c r="R10" s="233"/>
      <c r="S10" s="233"/>
      <c r="T10" s="233"/>
      <c r="U10" s="233"/>
      <c r="V10" s="233"/>
      <c r="W10" s="233"/>
      <c r="X10" s="233"/>
      <c r="Y10" s="233" t="s">
        <v>113</v>
      </c>
      <c r="Z10" s="233"/>
      <c r="AA10" s="233"/>
      <c r="AB10" s="233"/>
      <c r="AC10" s="233"/>
      <c r="AD10" s="233"/>
      <c r="AE10" s="233"/>
      <c r="AF10" s="233"/>
      <c r="AG10" s="233"/>
      <c r="AH10" s="233"/>
      <c r="AI10" s="233"/>
      <c r="AJ10" s="233"/>
      <c r="AK10" s="233" t="s">
        <v>114</v>
      </c>
      <c r="AL10" s="233"/>
      <c r="AM10" s="233"/>
      <c r="AN10" s="233"/>
      <c r="AO10" s="233"/>
      <c r="AP10" s="233"/>
      <c r="AQ10" s="233"/>
      <c r="AR10" s="233"/>
      <c r="AS10" s="233"/>
      <c r="AT10" s="233"/>
      <c r="AU10" s="233"/>
      <c r="AV10" s="233"/>
      <c r="AW10" s="233" t="s">
        <v>115</v>
      </c>
      <c r="AX10" s="233"/>
      <c r="AY10" s="233"/>
      <c r="AZ10" s="233"/>
      <c r="BA10" s="233"/>
      <c r="BB10" s="233"/>
      <c r="BC10" s="233"/>
      <c r="BD10" s="233"/>
      <c r="BE10" s="233"/>
      <c r="BF10" s="233"/>
      <c r="BG10" s="233"/>
      <c r="BH10" s="233"/>
      <c r="BI10" s="233" t="s">
        <v>116</v>
      </c>
      <c r="BJ10" s="233"/>
      <c r="BK10" s="233"/>
      <c r="BL10" s="233"/>
      <c r="BM10" s="233"/>
      <c r="BN10" s="233"/>
      <c r="BO10" s="233"/>
      <c r="BP10" s="233"/>
      <c r="BQ10" s="233"/>
      <c r="BR10" s="233"/>
      <c r="BS10" s="233"/>
      <c r="BT10" s="233"/>
    </row>
    <row r="11" spans="2:72" x14ac:dyDescent="0.2">
      <c r="J11" s="224"/>
      <c r="K11" s="232"/>
      <c r="L11" s="232"/>
      <c r="M11" s="6" t="s">
        <v>145</v>
      </c>
      <c r="N11" s="6" t="s">
        <v>146</v>
      </c>
      <c r="O11" s="6" t="s">
        <v>147</v>
      </c>
      <c r="P11" s="6" t="s">
        <v>148</v>
      </c>
      <c r="Q11" s="6" t="s">
        <v>149</v>
      </c>
      <c r="R11" s="6" t="s">
        <v>150</v>
      </c>
      <c r="S11" s="6" t="s">
        <v>151</v>
      </c>
      <c r="T11" s="6" t="s">
        <v>256</v>
      </c>
      <c r="U11" s="6" t="s">
        <v>153</v>
      </c>
      <c r="V11" s="6" t="s">
        <v>154</v>
      </c>
      <c r="W11" s="6" t="s">
        <v>155</v>
      </c>
      <c r="X11" s="6" t="s">
        <v>257</v>
      </c>
      <c r="Y11" s="6" t="s">
        <v>145</v>
      </c>
      <c r="Z11" s="6" t="s">
        <v>146</v>
      </c>
      <c r="AA11" s="6" t="s">
        <v>147</v>
      </c>
      <c r="AB11" s="6" t="s">
        <v>148</v>
      </c>
      <c r="AC11" s="6" t="s">
        <v>149</v>
      </c>
      <c r="AD11" s="6" t="s">
        <v>150</v>
      </c>
      <c r="AE11" s="6" t="s">
        <v>151</v>
      </c>
      <c r="AF11" s="6" t="s">
        <v>256</v>
      </c>
      <c r="AG11" s="6" t="s">
        <v>153</v>
      </c>
      <c r="AH11" s="6" t="s">
        <v>154</v>
      </c>
      <c r="AI11" s="6" t="s">
        <v>155</v>
      </c>
      <c r="AJ11" s="6" t="s">
        <v>257</v>
      </c>
      <c r="AK11" s="6" t="s">
        <v>145</v>
      </c>
      <c r="AL11" s="6" t="s">
        <v>146</v>
      </c>
      <c r="AM11" s="6" t="s">
        <v>147</v>
      </c>
      <c r="AN11" s="6" t="s">
        <v>148</v>
      </c>
      <c r="AO11" s="6" t="s">
        <v>149</v>
      </c>
      <c r="AP11" s="6" t="s">
        <v>150</v>
      </c>
      <c r="AQ11" s="6" t="s">
        <v>151</v>
      </c>
      <c r="AR11" s="6" t="s">
        <v>256</v>
      </c>
      <c r="AS11" s="6" t="s">
        <v>153</v>
      </c>
      <c r="AT11" s="6" t="s">
        <v>154</v>
      </c>
      <c r="AU11" s="6" t="s">
        <v>155</v>
      </c>
      <c r="AV11" s="6" t="s">
        <v>257</v>
      </c>
      <c r="AW11" s="6" t="s">
        <v>145</v>
      </c>
      <c r="AX11" s="6" t="s">
        <v>146</v>
      </c>
      <c r="AY11" s="6" t="s">
        <v>147</v>
      </c>
      <c r="AZ11" s="6" t="s">
        <v>148</v>
      </c>
      <c r="BA11" s="6" t="s">
        <v>149</v>
      </c>
      <c r="BB11" s="6" t="s">
        <v>150</v>
      </c>
      <c r="BC11" s="6" t="s">
        <v>151</v>
      </c>
      <c r="BD11" s="6" t="s">
        <v>256</v>
      </c>
      <c r="BE11" s="6" t="s">
        <v>153</v>
      </c>
      <c r="BF11" s="6" t="s">
        <v>154</v>
      </c>
      <c r="BG11" s="6" t="s">
        <v>155</v>
      </c>
      <c r="BH11" s="6" t="s">
        <v>257</v>
      </c>
      <c r="BI11" s="6" t="s">
        <v>145</v>
      </c>
      <c r="BJ11" s="6" t="s">
        <v>146</v>
      </c>
      <c r="BK11" s="6" t="s">
        <v>147</v>
      </c>
      <c r="BL11" s="6" t="s">
        <v>148</v>
      </c>
      <c r="BM11" s="6" t="s">
        <v>149</v>
      </c>
      <c r="BN11" s="6" t="s">
        <v>150</v>
      </c>
      <c r="BO11" s="6" t="s">
        <v>151</v>
      </c>
      <c r="BP11" s="6" t="s">
        <v>256</v>
      </c>
      <c r="BQ11" s="6" t="s">
        <v>153</v>
      </c>
      <c r="BR11" s="6" t="s">
        <v>154</v>
      </c>
      <c r="BS11" s="6" t="s">
        <v>155</v>
      </c>
      <c r="BT11" s="6" t="s">
        <v>257</v>
      </c>
    </row>
    <row r="12" spans="2:72" x14ac:dyDescent="0.2">
      <c r="J12" s="131" t="s">
        <v>287</v>
      </c>
      <c r="K12" s="131">
        <v>100</v>
      </c>
      <c r="L12" s="131">
        <f>K12*8</f>
        <v>800</v>
      </c>
      <c r="M12" s="156">
        <f t="shared" ref="M12:AR12" si="6">M4*$M$7*$C$4</f>
        <v>30</v>
      </c>
      <c r="N12" s="156">
        <f t="shared" si="6"/>
        <v>60</v>
      </c>
      <c r="O12" s="156">
        <f t="shared" si="6"/>
        <v>90</v>
      </c>
      <c r="P12" s="156">
        <f t="shared" si="6"/>
        <v>150</v>
      </c>
      <c r="Q12" s="156">
        <f t="shared" si="6"/>
        <v>210</v>
      </c>
      <c r="R12" s="156">
        <f t="shared" si="6"/>
        <v>255</v>
      </c>
      <c r="S12" s="156">
        <f t="shared" si="6"/>
        <v>300</v>
      </c>
      <c r="T12" s="156">
        <f t="shared" si="6"/>
        <v>300</v>
      </c>
      <c r="U12" s="156">
        <f t="shared" si="6"/>
        <v>300</v>
      </c>
      <c r="V12" s="156">
        <f t="shared" si="6"/>
        <v>300</v>
      </c>
      <c r="W12" s="156">
        <f t="shared" si="6"/>
        <v>300</v>
      </c>
      <c r="X12" s="156">
        <f t="shared" si="6"/>
        <v>300</v>
      </c>
      <c r="Y12" s="156">
        <f t="shared" si="6"/>
        <v>344.99999999999994</v>
      </c>
      <c r="Z12" s="156">
        <f t="shared" si="6"/>
        <v>344.99999999999994</v>
      </c>
      <c r="AA12" s="156">
        <f t="shared" si="6"/>
        <v>344.99999999999994</v>
      </c>
      <c r="AB12" s="156">
        <f t="shared" si="6"/>
        <v>344.99999999999994</v>
      </c>
      <c r="AC12" s="156">
        <f t="shared" si="6"/>
        <v>344.99999999999994</v>
      </c>
      <c r="AD12" s="156">
        <f t="shared" si="6"/>
        <v>344.99999999999994</v>
      </c>
      <c r="AE12" s="156">
        <f t="shared" si="6"/>
        <v>344.99999999999994</v>
      </c>
      <c r="AF12" s="156">
        <f t="shared" si="6"/>
        <v>344.99999999999994</v>
      </c>
      <c r="AG12" s="156">
        <f t="shared" si="6"/>
        <v>344.99999999999994</v>
      </c>
      <c r="AH12" s="156">
        <f t="shared" si="6"/>
        <v>344.99999999999994</v>
      </c>
      <c r="AI12" s="156">
        <f t="shared" si="6"/>
        <v>344.99999999999994</v>
      </c>
      <c r="AJ12" s="156">
        <f t="shared" si="6"/>
        <v>344.99999999999994</v>
      </c>
      <c r="AK12" s="156">
        <f t="shared" si="6"/>
        <v>390</v>
      </c>
      <c r="AL12" s="156">
        <f t="shared" si="6"/>
        <v>390</v>
      </c>
      <c r="AM12" s="156">
        <f t="shared" si="6"/>
        <v>390</v>
      </c>
      <c r="AN12" s="156">
        <f t="shared" si="6"/>
        <v>390</v>
      </c>
      <c r="AO12" s="156">
        <f t="shared" si="6"/>
        <v>390</v>
      </c>
      <c r="AP12" s="156">
        <f t="shared" si="6"/>
        <v>390</v>
      </c>
      <c r="AQ12" s="156">
        <f t="shared" si="6"/>
        <v>390</v>
      </c>
      <c r="AR12" s="156">
        <f t="shared" si="6"/>
        <v>390</v>
      </c>
      <c r="AS12" s="156">
        <f t="shared" ref="AS12:BT12" si="7">AS4*$M$7*$C$4</f>
        <v>390</v>
      </c>
      <c r="AT12" s="156">
        <f t="shared" si="7"/>
        <v>390</v>
      </c>
      <c r="AU12" s="156">
        <f t="shared" si="7"/>
        <v>390</v>
      </c>
      <c r="AV12" s="156">
        <f t="shared" si="7"/>
        <v>390</v>
      </c>
      <c r="AW12" s="156">
        <f t="shared" si="7"/>
        <v>435</v>
      </c>
      <c r="AX12" s="156">
        <f t="shared" si="7"/>
        <v>435</v>
      </c>
      <c r="AY12" s="156">
        <f t="shared" si="7"/>
        <v>435</v>
      </c>
      <c r="AZ12" s="156">
        <f t="shared" si="7"/>
        <v>435</v>
      </c>
      <c r="BA12" s="156">
        <f t="shared" si="7"/>
        <v>435</v>
      </c>
      <c r="BB12" s="156">
        <f t="shared" si="7"/>
        <v>435</v>
      </c>
      <c r="BC12" s="156">
        <f t="shared" si="7"/>
        <v>435</v>
      </c>
      <c r="BD12" s="156">
        <f t="shared" si="7"/>
        <v>435</v>
      </c>
      <c r="BE12" s="156">
        <f t="shared" si="7"/>
        <v>435</v>
      </c>
      <c r="BF12" s="156">
        <f t="shared" si="7"/>
        <v>435</v>
      </c>
      <c r="BG12" s="156">
        <f t="shared" si="7"/>
        <v>435</v>
      </c>
      <c r="BH12" s="156">
        <f t="shared" si="7"/>
        <v>435</v>
      </c>
      <c r="BI12" s="156">
        <f t="shared" si="7"/>
        <v>480</v>
      </c>
      <c r="BJ12" s="156">
        <f t="shared" si="7"/>
        <v>480</v>
      </c>
      <c r="BK12" s="156">
        <f t="shared" si="7"/>
        <v>480</v>
      </c>
      <c r="BL12" s="156">
        <f t="shared" si="7"/>
        <v>480</v>
      </c>
      <c r="BM12" s="156">
        <f t="shared" si="7"/>
        <v>480</v>
      </c>
      <c r="BN12" s="156">
        <f t="shared" si="7"/>
        <v>480</v>
      </c>
      <c r="BO12" s="156">
        <f t="shared" si="7"/>
        <v>480</v>
      </c>
      <c r="BP12" s="156">
        <f t="shared" si="7"/>
        <v>480</v>
      </c>
      <c r="BQ12" s="156">
        <f t="shared" si="7"/>
        <v>480</v>
      </c>
      <c r="BR12" s="156">
        <f t="shared" si="7"/>
        <v>480</v>
      </c>
      <c r="BS12" s="156">
        <f t="shared" si="7"/>
        <v>480</v>
      </c>
      <c r="BT12" s="156">
        <f t="shared" si="7"/>
        <v>480</v>
      </c>
    </row>
    <row r="13" spans="2:72" x14ac:dyDescent="0.2">
      <c r="J13" s="131" t="s">
        <v>289</v>
      </c>
      <c r="K13" s="131">
        <v>50</v>
      </c>
      <c r="L13" s="131">
        <f>K13*8</f>
        <v>400</v>
      </c>
      <c r="M13" s="183">
        <f t="shared" ref="M13:AR13" si="8">M5*$M$7*$C$4</f>
        <v>15</v>
      </c>
      <c r="N13" s="183">
        <f t="shared" si="8"/>
        <v>30</v>
      </c>
      <c r="O13" s="183">
        <f t="shared" si="8"/>
        <v>45</v>
      </c>
      <c r="P13" s="183">
        <f t="shared" si="8"/>
        <v>75</v>
      </c>
      <c r="Q13" s="183">
        <f t="shared" si="8"/>
        <v>105</v>
      </c>
      <c r="R13" s="183">
        <f t="shared" si="8"/>
        <v>127.5</v>
      </c>
      <c r="S13" s="183">
        <f t="shared" si="8"/>
        <v>150</v>
      </c>
      <c r="T13" s="183">
        <f t="shared" si="8"/>
        <v>150</v>
      </c>
      <c r="U13" s="183">
        <f t="shared" si="8"/>
        <v>150</v>
      </c>
      <c r="V13" s="183">
        <f t="shared" si="8"/>
        <v>150</v>
      </c>
      <c r="W13" s="183">
        <f t="shared" si="8"/>
        <v>150</v>
      </c>
      <c r="X13" s="183">
        <f t="shared" si="8"/>
        <v>150</v>
      </c>
      <c r="Y13" s="183">
        <f t="shared" si="8"/>
        <v>172.49999999999997</v>
      </c>
      <c r="Z13" s="183">
        <f t="shared" si="8"/>
        <v>172.49999999999997</v>
      </c>
      <c r="AA13" s="183">
        <f t="shared" si="8"/>
        <v>172.49999999999997</v>
      </c>
      <c r="AB13" s="183">
        <f t="shared" si="8"/>
        <v>172.49999999999997</v>
      </c>
      <c r="AC13" s="183">
        <f t="shared" si="8"/>
        <v>172.49999999999997</v>
      </c>
      <c r="AD13" s="183">
        <f t="shared" si="8"/>
        <v>172.49999999999997</v>
      </c>
      <c r="AE13" s="183">
        <f t="shared" si="8"/>
        <v>172.49999999999997</v>
      </c>
      <c r="AF13" s="183">
        <f t="shared" si="8"/>
        <v>172.49999999999997</v>
      </c>
      <c r="AG13" s="183">
        <f t="shared" si="8"/>
        <v>172.49999999999997</v>
      </c>
      <c r="AH13" s="183">
        <f t="shared" si="8"/>
        <v>172.49999999999997</v>
      </c>
      <c r="AI13" s="183">
        <f t="shared" si="8"/>
        <v>172.49999999999997</v>
      </c>
      <c r="AJ13" s="183">
        <f t="shared" si="8"/>
        <v>172.49999999999997</v>
      </c>
      <c r="AK13" s="183">
        <f t="shared" si="8"/>
        <v>195</v>
      </c>
      <c r="AL13" s="183">
        <f t="shared" si="8"/>
        <v>195</v>
      </c>
      <c r="AM13" s="183">
        <f t="shared" si="8"/>
        <v>195</v>
      </c>
      <c r="AN13" s="183">
        <f t="shared" si="8"/>
        <v>195</v>
      </c>
      <c r="AO13" s="183">
        <f t="shared" si="8"/>
        <v>195</v>
      </c>
      <c r="AP13" s="183">
        <f t="shared" si="8"/>
        <v>195</v>
      </c>
      <c r="AQ13" s="183">
        <f t="shared" si="8"/>
        <v>195</v>
      </c>
      <c r="AR13" s="183">
        <f t="shared" si="8"/>
        <v>195</v>
      </c>
      <c r="AS13" s="183">
        <f t="shared" ref="AS13:BT13" si="9">AS5*$M$7*$C$4</f>
        <v>195</v>
      </c>
      <c r="AT13" s="183">
        <f t="shared" si="9"/>
        <v>195</v>
      </c>
      <c r="AU13" s="183">
        <f t="shared" si="9"/>
        <v>195</v>
      </c>
      <c r="AV13" s="183">
        <f t="shared" si="9"/>
        <v>195</v>
      </c>
      <c r="AW13" s="183">
        <f t="shared" si="9"/>
        <v>217.5</v>
      </c>
      <c r="AX13" s="183">
        <f t="shared" si="9"/>
        <v>217.5</v>
      </c>
      <c r="AY13" s="183">
        <f t="shared" si="9"/>
        <v>217.5</v>
      </c>
      <c r="AZ13" s="183">
        <f t="shared" si="9"/>
        <v>217.5</v>
      </c>
      <c r="BA13" s="183">
        <f t="shared" si="9"/>
        <v>217.5</v>
      </c>
      <c r="BB13" s="183">
        <f t="shared" si="9"/>
        <v>217.5</v>
      </c>
      <c r="BC13" s="183">
        <f t="shared" si="9"/>
        <v>217.5</v>
      </c>
      <c r="BD13" s="183">
        <f t="shared" si="9"/>
        <v>217.5</v>
      </c>
      <c r="BE13" s="183">
        <f t="shared" si="9"/>
        <v>217.5</v>
      </c>
      <c r="BF13" s="183">
        <f t="shared" si="9"/>
        <v>217.5</v>
      </c>
      <c r="BG13" s="183">
        <f t="shared" si="9"/>
        <v>217.5</v>
      </c>
      <c r="BH13" s="183">
        <f t="shared" si="9"/>
        <v>217.5</v>
      </c>
      <c r="BI13" s="183">
        <f t="shared" si="9"/>
        <v>240</v>
      </c>
      <c r="BJ13" s="183">
        <f t="shared" si="9"/>
        <v>240</v>
      </c>
      <c r="BK13" s="183">
        <f t="shared" si="9"/>
        <v>240</v>
      </c>
      <c r="BL13" s="183">
        <f t="shared" si="9"/>
        <v>240</v>
      </c>
      <c r="BM13" s="183">
        <f t="shared" si="9"/>
        <v>240</v>
      </c>
      <c r="BN13" s="183">
        <f t="shared" si="9"/>
        <v>240</v>
      </c>
      <c r="BO13" s="183">
        <f t="shared" si="9"/>
        <v>240</v>
      </c>
      <c r="BP13" s="183">
        <f t="shared" si="9"/>
        <v>240</v>
      </c>
      <c r="BQ13" s="183">
        <f t="shared" si="9"/>
        <v>240</v>
      </c>
      <c r="BR13" s="183">
        <f t="shared" si="9"/>
        <v>240</v>
      </c>
      <c r="BS13" s="183">
        <f t="shared" si="9"/>
        <v>240</v>
      </c>
      <c r="BT13" s="183">
        <f t="shared" si="9"/>
        <v>240</v>
      </c>
    </row>
    <row r="14" spans="2:72" x14ac:dyDescent="0.2">
      <c r="J14" s="131" t="s">
        <v>290</v>
      </c>
      <c r="K14" s="131">
        <v>25</v>
      </c>
      <c r="L14" s="131">
        <f>K14*8</f>
        <v>200</v>
      </c>
      <c r="M14" s="183">
        <f t="shared" ref="M14:AR14" si="10">M6*$M$7*$C$4</f>
        <v>7.5</v>
      </c>
      <c r="N14" s="183">
        <f t="shared" si="10"/>
        <v>15</v>
      </c>
      <c r="O14" s="183">
        <f t="shared" si="10"/>
        <v>22.5</v>
      </c>
      <c r="P14" s="183">
        <f t="shared" si="10"/>
        <v>37.5</v>
      </c>
      <c r="Q14" s="183">
        <f t="shared" si="10"/>
        <v>52.5</v>
      </c>
      <c r="R14" s="183">
        <f t="shared" si="10"/>
        <v>63.75</v>
      </c>
      <c r="S14" s="183">
        <f t="shared" si="10"/>
        <v>75</v>
      </c>
      <c r="T14" s="183">
        <f t="shared" si="10"/>
        <v>75</v>
      </c>
      <c r="U14" s="183">
        <f t="shared" si="10"/>
        <v>75</v>
      </c>
      <c r="V14" s="183">
        <f t="shared" si="10"/>
        <v>75</v>
      </c>
      <c r="W14" s="183">
        <f t="shared" si="10"/>
        <v>75</v>
      </c>
      <c r="X14" s="183">
        <f t="shared" si="10"/>
        <v>75</v>
      </c>
      <c r="Y14" s="183">
        <f t="shared" si="10"/>
        <v>86.249999999999986</v>
      </c>
      <c r="Z14" s="183">
        <f t="shared" si="10"/>
        <v>86.249999999999986</v>
      </c>
      <c r="AA14" s="183">
        <f t="shared" si="10"/>
        <v>86.249999999999986</v>
      </c>
      <c r="AB14" s="183">
        <f t="shared" si="10"/>
        <v>86.249999999999986</v>
      </c>
      <c r="AC14" s="183">
        <f t="shared" si="10"/>
        <v>86.249999999999986</v>
      </c>
      <c r="AD14" s="183">
        <f t="shared" si="10"/>
        <v>86.249999999999986</v>
      </c>
      <c r="AE14" s="183">
        <f t="shared" si="10"/>
        <v>86.249999999999986</v>
      </c>
      <c r="AF14" s="183">
        <f t="shared" si="10"/>
        <v>86.249999999999986</v>
      </c>
      <c r="AG14" s="183">
        <f t="shared" si="10"/>
        <v>86.249999999999986</v>
      </c>
      <c r="AH14" s="183">
        <f t="shared" si="10"/>
        <v>86.249999999999986</v>
      </c>
      <c r="AI14" s="183">
        <f t="shared" si="10"/>
        <v>86.249999999999986</v>
      </c>
      <c r="AJ14" s="183">
        <f t="shared" si="10"/>
        <v>86.249999999999986</v>
      </c>
      <c r="AK14" s="183">
        <f t="shared" si="10"/>
        <v>97.5</v>
      </c>
      <c r="AL14" s="183">
        <f t="shared" si="10"/>
        <v>97.5</v>
      </c>
      <c r="AM14" s="183">
        <f t="shared" si="10"/>
        <v>97.5</v>
      </c>
      <c r="AN14" s="183">
        <f t="shared" si="10"/>
        <v>97.5</v>
      </c>
      <c r="AO14" s="183">
        <f t="shared" si="10"/>
        <v>97.5</v>
      </c>
      <c r="AP14" s="183">
        <f t="shared" si="10"/>
        <v>97.5</v>
      </c>
      <c r="AQ14" s="183">
        <f t="shared" si="10"/>
        <v>97.5</v>
      </c>
      <c r="AR14" s="183">
        <f t="shared" si="10"/>
        <v>97.5</v>
      </c>
      <c r="AS14" s="183">
        <f t="shared" ref="AS14:BT14" si="11">AS6*$M$7*$C$4</f>
        <v>97.5</v>
      </c>
      <c r="AT14" s="183">
        <f t="shared" si="11"/>
        <v>97.5</v>
      </c>
      <c r="AU14" s="183">
        <f t="shared" si="11"/>
        <v>97.5</v>
      </c>
      <c r="AV14" s="183">
        <f t="shared" si="11"/>
        <v>97.5</v>
      </c>
      <c r="AW14" s="183">
        <f t="shared" si="11"/>
        <v>108.75</v>
      </c>
      <c r="AX14" s="183">
        <f t="shared" si="11"/>
        <v>108.75</v>
      </c>
      <c r="AY14" s="183">
        <f t="shared" si="11"/>
        <v>108.75</v>
      </c>
      <c r="AZ14" s="183">
        <f t="shared" si="11"/>
        <v>108.75</v>
      </c>
      <c r="BA14" s="183">
        <f t="shared" si="11"/>
        <v>108.75</v>
      </c>
      <c r="BB14" s="183">
        <f t="shared" si="11"/>
        <v>108.75</v>
      </c>
      <c r="BC14" s="183">
        <f t="shared" si="11"/>
        <v>108.75</v>
      </c>
      <c r="BD14" s="183">
        <f t="shared" si="11"/>
        <v>108.75</v>
      </c>
      <c r="BE14" s="183">
        <f t="shared" si="11"/>
        <v>108.75</v>
      </c>
      <c r="BF14" s="183">
        <f t="shared" si="11"/>
        <v>108.75</v>
      </c>
      <c r="BG14" s="183">
        <f t="shared" si="11"/>
        <v>108.75</v>
      </c>
      <c r="BH14" s="183">
        <f t="shared" si="11"/>
        <v>108.75</v>
      </c>
      <c r="BI14" s="183">
        <f t="shared" si="11"/>
        <v>120</v>
      </c>
      <c r="BJ14" s="183">
        <f t="shared" si="11"/>
        <v>120</v>
      </c>
      <c r="BK14" s="183">
        <f t="shared" si="11"/>
        <v>120</v>
      </c>
      <c r="BL14" s="183">
        <f t="shared" si="11"/>
        <v>120</v>
      </c>
      <c r="BM14" s="183">
        <f t="shared" si="11"/>
        <v>120</v>
      </c>
      <c r="BN14" s="183">
        <f t="shared" si="11"/>
        <v>120</v>
      </c>
      <c r="BO14" s="183">
        <f t="shared" si="11"/>
        <v>120</v>
      </c>
      <c r="BP14" s="183">
        <f t="shared" si="11"/>
        <v>120</v>
      </c>
      <c r="BQ14" s="183">
        <f t="shared" si="11"/>
        <v>120</v>
      </c>
      <c r="BR14" s="156">
        <f t="shared" si="11"/>
        <v>120</v>
      </c>
      <c r="BS14" s="183">
        <f t="shared" si="11"/>
        <v>120</v>
      </c>
      <c r="BT14" s="156">
        <f t="shared" si="11"/>
        <v>120</v>
      </c>
    </row>
    <row r="15" spans="2:72" x14ac:dyDescent="0.2">
      <c r="J15" s="236" t="s">
        <v>293</v>
      </c>
      <c r="K15" s="236"/>
      <c r="L15" s="132"/>
      <c r="M15" s="133">
        <f t="shared" ref="M15:AR15" si="12">SUM(M12:M14)</f>
        <v>52.5</v>
      </c>
      <c r="N15" s="133">
        <f t="shared" si="12"/>
        <v>105</v>
      </c>
      <c r="O15" s="133">
        <f t="shared" si="12"/>
        <v>157.5</v>
      </c>
      <c r="P15" s="133">
        <f t="shared" si="12"/>
        <v>262.5</v>
      </c>
      <c r="Q15" s="133">
        <f t="shared" si="12"/>
        <v>367.5</v>
      </c>
      <c r="R15" s="133">
        <f t="shared" si="12"/>
        <v>446.25</v>
      </c>
      <c r="S15" s="133">
        <f t="shared" si="12"/>
        <v>525</v>
      </c>
      <c r="T15" s="133">
        <f t="shared" si="12"/>
        <v>525</v>
      </c>
      <c r="U15" s="133">
        <f t="shared" si="12"/>
        <v>525</v>
      </c>
      <c r="V15" s="133">
        <f t="shared" si="12"/>
        <v>525</v>
      </c>
      <c r="W15" s="133">
        <f t="shared" si="12"/>
        <v>525</v>
      </c>
      <c r="X15" s="133">
        <f t="shared" si="12"/>
        <v>525</v>
      </c>
      <c r="Y15" s="133">
        <f t="shared" si="12"/>
        <v>603.74999999999989</v>
      </c>
      <c r="Z15" s="133">
        <f t="shared" si="12"/>
        <v>603.74999999999989</v>
      </c>
      <c r="AA15" s="133">
        <f t="shared" si="12"/>
        <v>603.74999999999989</v>
      </c>
      <c r="AB15" s="133">
        <f t="shared" si="12"/>
        <v>603.74999999999989</v>
      </c>
      <c r="AC15" s="133">
        <f t="shared" si="12"/>
        <v>603.74999999999989</v>
      </c>
      <c r="AD15" s="133">
        <f t="shared" si="12"/>
        <v>603.74999999999989</v>
      </c>
      <c r="AE15" s="133">
        <f t="shared" si="12"/>
        <v>603.74999999999989</v>
      </c>
      <c r="AF15" s="133">
        <f t="shared" si="12"/>
        <v>603.74999999999989</v>
      </c>
      <c r="AG15" s="133">
        <f t="shared" si="12"/>
        <v>603.74999999999989</v>
      </c>
      <c r="AH15" s="133">
        <f t="shared" si="12"/>
        <v>603.74999999999989</v>
      </c>
      <c r="AI15" s="133">
        <f t="shared" si="12"/>
        <v>603.74999999999989</v>
      </c>
      <c r="AJ15" s="133">
        <f t="shared" si="12"/>
        <v>603.74999999999989</v>
      </c>
      <c r="AK15" s="133">
        <f t="shared" si="12"/>
        <v>682.5</v>
      </c>
      <c r="AL15" s="133">
        <f t="shared" si="12"/>
        <v>682.5</v>
      </c>
      <c r="AM15" s="133">
        <f t="shared" si="12"/>
        <v>682.5</v>
      </c>
      <c r="AN15" s="133">
        <f t="shared" si="12"/>
        <v>682.5</v>
      </c>
      <c r="AO15" s="133">
        <f t="shared" si="12"/>
        <v>682.5</v>
      </c>
      <c r="AP15" s="133">
        <f t="shared" si="12"/>
        <v>682.5</v>
      </c>
      <c r="AQ15" s="133">
        <f t="shared" si="12"/>
        <v>682.5</v>
      </c>
      <c r="AR15" s="133">
        <f t="shared" si="12"/>
        <v>682.5</v>
      </c>
      <c r="AS15" s="133">
        <f t="shared" ref="AS15:BT15" si="13">SUM(AS12:AS14)</f>
        <v>682.5</v>
      </c>
      <c r="AT15" s="133">
        <f t="shared" si="13"/>
        <v>682.5</v>
      </c>
      <c r="AU15" s="133">
        <f t="shared" si="13"/>
        <v>682.5</v>
      </c>
      <c r="AV15" s="133">
        <f t="shared" si="13"/>
        <v>682.5</v>
      </c>
      <c r="AW15" s="133">
        <f t="shared" si="13"/>
        <v>761.25</v>
      </c>
      <c r="AX15" s="133">
        <f t="shared" si="13"/>
        <v>761.25</v>
      </c>
      <c r="AY15" s="133">
        <f t="shared" si="13"/>
        <v>761.25</v>
      </c>
      <c r="AZ15" s="133">
        <f t="shared" si="13"/>
        <v>761.25</v>
      </c>
      <c r="BA15" s="133">
        <f t="shared" si="13"/>
        <v>761.25</v>
      </c>
      <c r="BB15" s="133">
        <f t="shared" si="13"/>
        <v>761.25</v>
      </c>
      <c r="BC15" s="133">
        <f t="shared" si="13"/>
        <v>761.25</v>
      </c>
      <c r="BD15" s="133">
        <f t="shared" si="13"/>
        <v>761.25</v>
      </c>
      <c r="BE15" s="133">
        <f t="shared" si="13"/>
        <v>761.25</v>
      </c>
      <c r="BF15" s="133">
        <f t="shared" si="13"/>
        <v>761.25</v>
      </c>
      <c r="BG15" s="133">
        <f t="shared" si="13"/>
        <v>761.25</v>
      </c>
      <c r="BH15" s="133">
        <f t="shared" si="13"/>
        <v>761.25</v>
      </c>
      <c r="BI15" s="133">
        <f t="shared" si="13"/>
        <v>840</v>
      </c>
      <c r="BJ15" s="133">
        <f t="shared" si="13"/>
        <v>840</v>
      </c>
      <c r="BK15" s="133">
        <f t="shared" si="13"/>
        <v>840</v>
      </c>
      <c r="BL15" s="133">
        <f t="shared" si="13"/>
        <v>840</v>
      </c>
      <c r="BM15" s="133">
        <f t="shared" si="13"/>
        <v>840</v>
      </c>
      <c r="BN15" s="133">
        <f t="shared" si="13"/>
        <v>840</v>
      </c>
      <c r="BO15" s="133">
        <f t="shared" si="13"/>
        <v>840</v>
      </c>
      <c r="BP15" s="133">
        <f t="shared" si="13"/>
        <v>840</v>
      </c>
      <c r="BQ15" s="133">
        <f t="shared" si="13"/>
        <v>840</v>
      </c>
      <c r="BR15" s="133">
        <f t="shared" si="13"/>
        <v>840</v>
      </c>
      <c r="BS15" s="133">
        <f t="shared" si="13"/>
        <v>840</v>
      </c>
      <c r="BT15" s="133">
        <f t="shared" si="13"/>
        <v>840</v>
      </c>
    </row>
    <row r="16" spans="2:72" x14ac:dyDescent="0.2">
      <c r="J16" t="s">
        <v>294</v>
      </c>
      <c r="M16" s="157">
        <f>SUM(M15:X15)</f>
        <v>4541.25</v>
      </c>
      <c r="N16" s="158"/>
      <c r="O16" s="158"/>
      <c r="P16" s="158"/>
      <c r="Q16" s="158"/>
      <c r="R16" s="158"/>
      <c r="S16" s="158"/>
      <c r="T16" s="158"/>
      <c r="U16" s="158"/>
      <c r="V16" s="158"/>
      <c r="W16" s="158"/>
      <c r="X16" s="159"/>
      <c r="Y16" s="160">
        <f>SUM(Y15:AJ15)</f>
        <v>7244.9999999999991</v>
      </c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2">
        <f>SUM(AK15:AU15)</f>
        <v>7507.5</v>
      </c>
      <c r="AL16" s="163"/>
      <c r="AM16" s="163"/>
      <c r="AN16" s="163"/>
      <c r="AO16" s="163"/>
      <c r="AP16" s="163"/>
      <c r="AQ16" s="163"/>
      <c r="AR16" s="163"/>
      <c r="AS16" s="163"/>
      <c r="AT16" s="163"/>
      <c r="AU16" s="163"/>
      <c r="AV16" s="164"/>
      <c r="AW16" s="165">
        <f>SUM(AW15:BH15)</f>
        <v>9135</v>
      </c>
      <c r="AX16" s="166"/>
      <c r="AY16" s="166"/>
      <c r="AZ16" s="166"/>
      <c r="BA16" s="166"/>
      <c r="BB16" s="166"/>
      <c r="BC16" s="166"/>
      <c r="BD16" s="166"/>
      <c r="BE16" s="166"/>
      <c r="BF16" s="166"/>
      <c r="BG16" s="166"/>
      <c r="BH16" s="166"/>
      <c r="BI16" s="160">
        <f>SUM(BI15:BT15)</f>
        <v>10080</v>
      </c>
      <c r="BJ16" s="161"/>
      <c r="BK16" s="161"/>
      <c r="BL16" s="161"/>
      <c r="BM16" s="161"/>
      <c r="BN16" s="161"/>
      <c r="BO16" s="161"/>
      <c r="BP16" s="161"/>
      <c r="BQ16" s="161"/>
      <c r="BR16" s="161"/>
      <c r="BS16" s="161"/>
      <c r="BT16" s="161"/>
    </row>
  </sheetData>
  <mergeCells count="14">
    <mergeCell ref="M1:X1"/>
    <mergeCell ref="Y1:AJ1"/>
    <mergeCell ref="AK1:AV1"/>
    <mergeCell ref="AW1:BH1"/>
    <mergeCell ref="BI1:BT1"/>
    <mergeCell ref="AK10:AV10"/>
    <mergeCell ref="AW10:BH10"/>
    <mergeCell ref="BI10:BT10"/>
    <mergeCell ref="J15:K15"/>
    <mergeCell ref="J10:J11"/>
    <mergeCell ref="K10:K11"/>
    <mergeCell ref="L10:L11"/>
    <mergeCell ref="M10:X10"/>
    <mergeCell ref="Y10:AJ10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8"/>
  <sheetViews>
    <sheetView topLeftCell="A4" zoomScaleNormal="100" workbookViewId="0">
      <selection activeCell="C2" sqref="C2"/>
    </sheetView>
  </sheetViews>
  <sheetFormatPr baseColWidth="10" defaultColWidth="8.83203125" defaultRowHeight="15" x14ac:dyDescent="0.2"/>
  <cols>
    <col min="1" max="1" width="19.5" customWidth="1"/>
    <col min="2" max="2" width="17.33203125" customWidth="1"/>
    <col min="3" max="3" width="18.5" customWidth="1"/>
    <col min="4" max="4" width="16.6640625" customWidth="1"/>
    <col min="5" max="5" width="21.83203125" customWidth="1"/>
    <col min="6" max="6" width="30.5" style="1" customWidth="1"/>
    <col min="7" max="7" width="23.83203125" style="1" customWidth="1"/>
    <col min="8" max="8" width="16.5" customWidth="1"/>
    <col min="9" max="1025" width="9.1640625" customWidth="1"/>
  </cols>
  <sheetData>
    <row r="1" spans="1:8" ht="15" customHeight="1" x14ac:dyDescent="0.2">
      <c r="A1" s="220" t="s">
        <v>329</v>
      </c>
      <c r="B1" s="220"/>
      <c r="C1" s="220"/>
      <c r="H1" s="139"/>
    </row>
    <row r="2" spans="1:8" s="139" customFormat="1" x14ac:dyDescent="0.2">
      <c r="A2" s="139" t="s">
        <v>305</v>
      </c>
      <c r="B2" s="139" t="s">
        <v>306</v>
      </c>
      <c r="C2" s="139" t="s">
        <v>307</v>
      </c>
    </row>
    <row r="3" spans="1:8" x14ac:dyDescent="0.2">
      <c r="A3" s="184">
        <v>4520.6400000000003</v>
      </c>
      <c r="B3" s="1" t="s">
        <v>310</v>
      </c>
      <c r="C3" s="19">
        <f>A3*$B$8</f>
        <v>13561.920000000002</v>
      </c>
      <c r="E3" s="185">
        <f>C3/400000</f>
        <v>3.3904800000000006E-2</v>
      </c>
    </row>
    <row r="4" spans="1:8" x14ac:dyDescent="0.2">
      <c r="A4" s="184">
        <v>3961.92</v>
      </c>
      <c r="B4" s="1" t="s">
        <v>311</v>
      </c>
      <c r="C4" s="19">
        <f>A4*$B$8</f>
        <v>11885.76</v>
      </c>
      <c r="E4" s="185">
        <f>C4/400000</f>
        <v>2.9714400000000002E-2</v>
      </c>
    </row>
    <row r="5" spans="1:8" x14ac:dyDescent="0.2">
      <c r="A5" s="184">
        <v>3774.72</v>
      </c>
      <c r="B5" s="1" t="s">
        <v>312</v>
      </c>
      <c r="C5" s="19">
        <f>A5*$B$8</f>
        <v>11324.16</v>
      </c>
      <c r="E5" s="185">
        <f>C5/400000</f>
        <v>2.8310399999999999E-2</v>
      </c>
    </row>
    <row r="6" spans="1:8" x14ac:dyDescent="0.2">
      <c r="A6" s="184">
        <v>3588.48</v>
      </c>
      <c r="B6" s="1" t="s">
        <v>330</v>
      </c>
      <c r="C6" s="19">
        <f>A6*$B$8</f>
        <v>10765.44</v>
      </c>
      <c r="E6" s="185">
        <f>C6/400000</f>
        <v>2.6913600000000003E-2</v>
      </c>
    </row>
    <row r="7" spans="1:8" x14ac:dyDescent="0.2">
      <c r="A7" s="184">
        <v>3402.24</v>
      </c>
      <c r="B7" s="1" t="s">
        <v>313</v>
      </c>
      <c r="C7" s="19">
        <f>A7*$B$8</f>
        <v>10206.719999999999</v>
      </c>
      <c r="E7" s="185">
        <f>C7/400000</f>
        <v>2.5516799999999999E-2</v>
      </c>
    </row>
    <row r="8" spans="1:8" ht="32" x14ac:dyDescent="0.2">
      <c r="A8" s="186" t="s">
        <v>331</v>
      </c>
      <c r="B8" s="187">
        <v>3</v>
      </c>
    </row>
  </sheetData>
  <mergeCells count="1">
    <mergeCell ref="A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U116"/>
  <sheetViews>
    <sheetView zoomScaleNormal="100" workbookViewId="0">
      <selection activeCell="A8" sqref="A8"/>
    </sheetView>
  </sheetViews>
  <sheetFormatPr baseColWidth="10" defaultColWidth="8.83203125" defaultRowHeight="15" x14ac:dyDescent="0.2"/>
  <cols>
    <col min="1" max="1" width="41.5" customWidth="1"/>
    <col min="2" max="1025" width="9.1640625" customWidth="1"/>
  </cols>
  <sheetData>
    <row r="1" spans="1:21" ht="15.75" customHeight="1" x14ac:dyDescent="0.2">
      <c r="A1" s="251" t="s">
        <v>67</v>
      </c>
      <c r="B1" s="250" t="s">
        <v>112</v>
      </c>
      <c r="C1" s="250"/>
      <c r="D1" s="250"/>
      <c r="E1" s="250"/>
      <c r="F1" s="250" t="s">
        <v>113</v>
      </c>
      <c r="G1" s="250"/>
      <c r="H1" s="250"/>
      <c r="I1" s="250"/>
      <c r="J1" s="250" t="s">
        <v>114</v>
      </c>
      <c r="K1" s="250"/>
      <c r="L1" s="250"/>
      <c r="M1" s="250"/>
      <c r="N1" s="250" t="s">
        <v>115</v>
      </c>
      <c r="O1" s="250"/>
      <c r="P1" s="250"/>
      <c r="Q1" s="250"/>
      <c r="R1" s="250" t="s">
        <v>116</v>
      </c>
      <c r="S1" s="250"/>
      <c r="T1" s="250"/>
      <c r="U1" s="250"/>
    </row>
    <row r="2" spans="1:21" ht="30.75" customHeight="1" x14ac:dyDescent="0.2">
      <c r="A2" s="251"/>
      <c r="B2" s="188" t="s">
        <v>332</v>
      </c>
      <c r="C2" s="188" t="s">
        <v>333</v>
      </c>
      <c r="D2" s="188" t="s">
        <v>334</v>
      </c>
      <c r="E2" s="189" t="s">
        <v>335</v>
      </c>
      <c r="F2" s="188" t="s">
        <v>332</v>
      </c>
      <c r="G2" s="188" t="s">
        <v>333</v>
      </c>
      <c r="H2" s="188" t="s">
        <v>334</v>
      </c>
      <c r="I2" s="188" t="s">
        <v>336</v>
      </c>
      <c r="J2" s="188" t="s">
        <v>332</v>
      </c>
      <c r="K2" s="188" t="s">
        <v>333</v>
      </c>
      <c r="L2" s="188" t="s">
        <v>334</v>
      </c>
      <c r="M2" s="188" t="s">
        <v>336</v>
      </c>
      <c r="N2" s="188" t="s">
        <v>332</v>
      </c>
      <c r="O2" s="188" t="s">
        <v>333</v>
      </c>
      <c r="P2" s="188" t="s">
        <v>334</v>
      </c>
      <c r="Q2" s="188" t="s">
        <v>336</v>
      </c>
      <c r="R2" s="188" t="s">
        <v>332</v>
      </c>
      <c r="S2" s="188" t="s">
        <v>333</v>
      </c>
      <c r="T2" s="188" t="s">
        <v>334</v>
      </c>
      <c r="U2" s="188" t="s">
        <v>336</v>
      </c>
    </row>
    <row r="3" spans="1:21" ht="16" x14ac:dyDescent="0.2">
      <c r="A3" s="190" t="s">
        <v>337</v>
      </c>
      <c r="B3" s="191">
        <v>1050</v>
      </c>
      <c r="C3" s="191">
        <v>1050</v>
      </c>
      <c r="D3" s="191">
        <v>1050</v>
      </c>
      <c r="E3" s="191">
        <v>1050</v>
      </c>
      <c r="F3" s="191">
        <v>1050</v>
      </c>
      <c r="G3" s="191">
        <v>1050</v>
      </c>
      <c r="H3" s="191">
        <v>1050</v>
      </c>
      <c r="I3" s="191">
        <v>1050</v>
      </c>
      <c r="J3" s="191">
        <v>1050</v>
      </c>
      <c r="K3" s="191">
        <v>1050</v>
      </c>
      <c r="L3" s="191">
        <v>1050</v>
      </c>
      <c r="M3" s="191">
        <v>1050</v>
      </c>
      <c r="N3" s="191">
        <v>1050</v>
      </c>
      <c r="O3" s="191">
        <v>1050</v>
      </c>
      <c r="P3" s="191">
        <v>1050</v>
      </c>
      <c r="Q3" s="191">
        <v>1050</v>
      </c>
      <c r="R3" s="191">
        <v>1050</v>
      </c>
      <c r="S3" s="191">
        <v>1050</v>
      </c>
      <c r="T3" s="191">
        <v>1050</v>
      </c>
      <c r="U3" s="191">
        <v>1050</v>
      </c>
    </row>
    <row r="4" spans="1:21" ht="32" x14ac:dyDescent="0.2">
      <c r="A4" s="190" t="s">
        <v>338</v>
      </c>
      <c r="B4" s="192"/>
      <c r="C4" s="193">
        <v>1500</v>
      </c>
      <c r="D4" s="193">
        <v>1500</v>
      </c>
      <c r="E4" s="193">
        <v>1500</v>
      </c>
      <c r="F4" s="193">
        <v>1500</v>
      </c>
      <c r="G4" s="193">
        <v>1500</v>
      </c>
      <c r="H4" s="193">
        <v>1500</v>
      </c>
      <c r="I4" s="193">
        <v>1500</v>
      </c>
      <c r="J4" s="193">
        <v>1500</v>
      </c>
      <c r="K4" s="193">
        <v>1500</v>
      </c>
      <c r="L4" s="193">
        <v>1500</v>
      </c>
      <c r="M4" s="193">
        <v>1500</v>
      </c>
      <c r="N4" s="193">
        <v>1500</v>
      </c>
      <c r="O4" s="193">
        <v>1500</v>
      </c>
      <c r="P4" s="193">
        <v>1500</v>
      </c>
      <c r="Q4" s="193">
        <v>1500</v>
      </c>
      <c r="R4" s="193">
        <v>1500</v>
      </c>
      <c r="S4" s="193">
        <v>1500</v>
      </c>
      <c r="T4" s="193">
        <v>1500</v>
      </c>
      <c r="U4" s="193">
        <v>1500</v>
      </c>
    </row>
    <row r="5" spans="1:21" ht="16" x14ac:dyDescent="0.2">
      <c r="A5" s="190" t="s">
        <v>339</v>
      </c>
      <c r="B5" s="194">
        <v>1000</v>
      </c>
      <c r="C5" s="192"/>
      <c r="D5" s="192"/>
      <c r="E5" s="192"/>
      <c r="F5" s="192"/>
      <c r="G5" s="194">
        <v>1000</v>
      </c>
      <c r="H5" s="192"/>
      <c r="I5" s="192"/>
      <c r="J5" s="192"/>
      <c r="K5" s="194">
        <v>1000</v>
      </c>
      <c r="L5" s="192"/>
      <c r="M5" s="192"/>
      <c r="N5" s="192"/>
      <c r="O5" s="194">
        <v>1000</v>
      </c>
      <c r="P5" s="192"/>
      <c r="Q5" s="192"/>
      <c r="R5" s="192"/>
      <c r="S5" s="194">
        <v>1000</v>
      </c>
      <c r="T5" s="192"/>
      <c r="U5" s="192"/>
    </row>
    <row r="6" spans="1:21" ht="32" x14ac:dyDescent="0.2">
      <c r="A6" s="190" t="s">
        <v>340</v>
      </c>
      <c r="B6" s="195">
        <v>1000</v>
      </c>
      <c r="C6" s="195">
        <v>1000</v>
      </c>
      <c r="D6" s="195">
        <v>1000</v>
      </c>
      <c r="E6" s="195">
        <v>1000</v>
      </c>
      <c r="F6" s="195">
        <v>1000</v>
      </c>
      <c r="G6" s="195">
        <v>1000</v>
      </c>
      <c r="H6" s="195">
        <v>1000</v>
      </c>
      <c r="I6" s="195">
        <v>1000</v>
      </c>
      <c r="J6" s="195">
        <v>1000</v>
      </c>
      <c r="K6" s="195">
        <v>1000</v>
      </c>
      <c r="L6" s="195">
        <v>1000</v>
      </c>
      <c r="M6" s="195">
        <v>1000</v>
      </c>
      <c r="N6" s="195">
        <v>1000</v>
      </c>
      <c r="O6" s="195">
        <v>1000</v>
      </c>
      <c r="P6" s="195">
        <v>1000</v>
      </c>
      <c r="Q6" s="195">
        <v>1000</v>
      </c>
      <c r="R6" s="195">
        <v>1000</v>
      </c>
      <c r="S6" s="195">
        <v>1000</v>
      </c>
      <c r="T6" s="195">
        <v>1000</v>
      </c>
      <c r="U6" s="195">
        <v>1000</v>
      </c>
    </row>
    <row r="7" spans="1:21" ht="16" x14ac:dyDescent="0.2">
      <c r="A7" s="190" t="s">
        <v>341</v>
      </c>
      <c r="B7" s="196"/>
      <c r="C7" s="191">
        <v>800</v>
      </c>
      <c r="D7" s="196"/>
      <c r="E7" s="196"/>
      <c r="F7" s="196"/>
      <c r="G7" s="191">
        <v>800</v>
      </c>
      <c r="H7" s="196"/>
      <c r="I7" s="196"/>
      <c r="J7" s="196"/>
      <c r="K7" s="191">
        <v>800</v>
      </c>
      <c r="L7" s="196"/>
      <c r="M7" s="196"/>
      <c r="N7" s="196"/>
      <c r="O7" s="191">
        <v>800</v>
      </c>
      <c r="P7" s="196"/>
      <c r="Q7" s="196"/>
      <c r="R7" s="196"/>
      <c r="S7" s="197">
        <v>800</v>
      </c>
      <c r="T7" s="196"/>
      <c r="U7" s="196"/>
    </row>
    <row r="8" spans="1:21" ht="16" x14ac:dyDescent="0.2">
      <c r="A8" s="190" t="s">
        <v>342</v>
      </c>
      <c r="B8" s="198">
        <v>3000</v>
      </c>
      <c r="C8" s="196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</row>
    <row r="9" spans="1:21" ht="16" x14ac:dyDescent="0.2">
      <c r="A9" s="190" t="s">
        <v>343</v>
      </c>
      <c r="B9" s="195">
        <v>700</v>
      </c>
      <c r="C9" s="196"/>
      <c r="D9" s="196"/>
      <c r="E9" s="196"/>
      <c r="F9" s="196"/>
      <c r="G9" s="196"/>
      <c r="H9" s="195">
        <v>700</v>
      </c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</row>
    <row r="10" spans="1:21" ht="16" x14ac:dyDescent="0.2">
      <c r="A10" s="190" t="s">
        <v>344</v>
      </c>
      <c r="B10" s="199">
        <v>10000</v>
      </c>
      <c r="C10" s="196"/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</row>
    <row r="11" spans="1:21" ht="16" x14ac:dyDescent="0.2">
      <c r="A11" s="190" t="s">
        <v>345</v>
      </c>
      <c r="B11" s="198">
        <v>5000</v>
      </c>
      <c r="C11" s="196"/>
      <c r="D11" s="196"/>
      <c r="E11" s="196"/>
      <c r="F11" s="196"/>
      <c r="G11" s="196"/>
      <c r="H11" s="196"/>
      <c r="I11" s="196"/>
      <c r="J11" s="196"/>
      <c r="K11" s="196"/>
      <c r="L11" s="196"/>
      <c r="M11" s="196"/>
      <c r="N11" s="196"/>
      <c r="O11" s="196"/>
      <c r="P11" s="196"/>
      <c r="Q11" s="196"/>
      <c r="R11" s="196"/>
      <c r="S11" s="196"/>
      <c r="T11" s="196"/>
      <c r="U11" s="196"/>
    </row>
    <row r="12" spans="1:21" ht="16" x14ac:dyDescent="0.2">
      <c r="A12" s="200" t="s">
        <v>346</v>
      </c>
      <c r="B12" s="201">
        <v>800</v>
      </c>
      <c r="C12" s="192"/>
      <c r="D12" s="192"/>
      <c r="E12" s="201">
        <v>800</v>
      </c>
      <c r="F12" s="192"/>
      <c r="G12" s="192"/>
      <c r="H12" s="202"/>
      <c r="I12" s="203">
        <v>800</v>
      </c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</row>
    <row r="13" spans="1:21" ht="30" customHeight="1" x14ac:dyDescent="0.2">
      <c r="A13" s="204" t="s">
        <v>347</v>
      </c>
      <c r="B13" s="205">
        <v>1000</v>
      </c>
      <c r="C13" s="206"/>
      <c r="D13" s="206"/>
      <c r="E13" s="206"/>
      <c r="F13" s="206"/>
      <c r="G13" s="206"/>
      <c r="H13" s="207"/>
      <c r="I13" s="208"/>
      <c r="J13" s="208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</row>
    <row r="14" spans="1:21" ht="16" x14ac:dyDescent="0.2">
      <c r="A14" s="200" t="s">
        <v>348</v>
      </c>
      <c r="B14" s="200"/>
      <c r="C14" s="200"/>
      <c r="D14" s="200"/>
      <c r="E14" s="209">
        <v>5000</v>
      </c>
      <c r="F14" s="200"/>
      <c r="G14" s="200"/>
      <c r="H14" s="200"/>
      <c r="I14" s="209">
        <v>5000</v>
      </c>
      <c r="J14" s="200"/>
      <c r="K14" s="200"/>
      <c r="L14" s="200"/>
      <c r="M14" s="209">
        <v>5000</v>
      </c>
      <c r="N14" s="200"/>
      <c r="O14" s="200"/>
      <c r="P14" s="200"/>
      <c r="Q14" s="209">
        <v>5000</v>
      </c>
      <c r="R14" s="200"/>
      <c r="S14" s="200"/>
      <c r="T14" s="200"/>
      <c r="U14" s="200">
        <v>5000</v>
      </c>
    </row>
    <row r="15" spans="1:21" ht="16" x14ac:dyDescent="0.2">
      <c r="A15" s="200" t="s">
        <v>349</v>
      </c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10">
        <v>50000</v>
      </c>
      <c r="O15" s="200"/>
      <c r="P15" s="200"/>
      <c r="Q15" s="200"/>
      <c r="R15" s="200"/>
      <c r="S15" s="200"/>
      <c r="T15" s="200"/>
      <c r="U15" s="200"/>
    </row>
    <row r="16" spans="1:21" x14ac:dyDescent="0.2">
      <c r="B16" s="200">
        <f t="shared" ref="B16:U16" si="0">SUM(B3:B15)</f>
        <v>23550</v>
      </c>
      <c r="C16" s="200">
        <f t="shared" si="0"/>
        <v>4350</v>
      </c>
      <c r="D16" s="200">
        <f t="shared" si="0"/>
        <v>3550</v>
      </c>
      <c r="E16" s="200">
        <f t="shared" si="0"/>
        <v>9350</v>
      </c>
      <c r="F16" s="200">
        <f t="shared" si="0"/>
        <v>3550</v>
      </c>
      <c r="G16" s="200">
        <f t="shared" si="0"/>
        <v>5350</v>
      </c>
      <c r="H16" s="200">
        <f t="shared" si="0"/>
        <v>4250</v>
      </c>
      <c r="I16" s="200">
        <f t="shared" si="0"/>
        <v>9350</v>
      </c>
      <c r="J16" s="200">
        <f t="shared" si="0"/>
        <v>3550</v>
      </c>
      <c r="K16" s="200">
        <f t="shared" si="0"/>
        <v>5350</v>
      </c>
      <c r="L16" s="200">
        <f t="shared" si="0"/>
        <v>3550</v>
      </c>
      <c r="M16" s="200">
        <f t="shared" si="0"/>
        <v>8550</v>
      </c>
      <c r="N16" s="200">
        <f t="shared" si="0"/>
        <v>53550</v>
      </c>
      <c r="O16" s="200">
        <f t="shared" si="0"/>
        <v>5350</v>
      </c>
      <c r="P16" s="200">
        <f t="shared" si="0"/>
        <v>3550</v>
      </c>
      <c r="Q16" s="200">
        <f t="shared" si="0"/>
        <v>8550</v>
      </c>
      <c r="R16" s="200">
        <f t="shared" si="0"/>
        <v>3550</v>
      </c>
      <c r="S16" s="200">
        <f t="shared" si="0"/>
        <v>5350</v>
      </c>
      <c r="T16" s="200">
        <f t="shared" si="0"/>
        <v>3550</v>
      </c>
      <c r="U16" s="200">
        <f t="shared" si="0"/>
        <v>8550</v>
      </c>
    </row>
    <row r="17" spans="2:18" x14ac:dyDescent="0.2">
      <c r="B17">
        <f>SUM(B16:E16)</f>
        <v>40800</v>
      </c>
      <c r="F17">
        <f>SUM(F16:I16)</f>
        <v>22500</v>
      </c>
      <c r="J17">
        <f>SUM(J16:M16)</f>
        <v>21000</v>
      </c>
      <c r="N17">
        <f>SUM(N16:Q16)</f>
        <v>71000</v>
      </c>
      <c r="R17">
        <f>SUM(R16:U16)</f>
        <v>21000</v>
      </c>
    </row>
    <row r="116" spans="5:5" x14ac:dyDescent="0.2">
      <c r="E116" t="str">
        <f>'Plan de communication'!N1</f>
        <v>Année N+3</v>
      </c>
    </row>
  </sheetData>
  <mergeCells count="6">
    <mergeCell ref="R1:U1"/>
    <mergeCell ref="A1:A2"/>
    <mergeCell ref="B1:E1"/>
    <mergeCell ref="F1:I1"/>
    <mergeCell ref="J1:M1"/>
    <mergeCell ref="N1:Q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U17"/>
  <sheetViews>
    <sheetView zoomScaleNormal="100" workbookViewId="0"/>
  </sheetViews>
  <sheetFormatPr baseColWidth="10" defaultColWidth="8.83203125" defaultRowHeight="15" x14ac:dyDescent="0.2"/>
  <cols>
    <col min="1" max="1" width="9.1640625" customWidth="1"/>
    <col min="2" max="21" width="6" customWidth="1"/>
    <col min="22" max="1025" width="9.1640625" customWidth="1"/>
  </cols>
  <sheetData>
    <row r="1" spans="1:21" ht="15.75" customHeight="1" x14ac:dyDescent="0.2">
      <c r="A1" s="251" t="s">
        <v>67</v>
      </c>
      <c r="B1" s="250" t="s">
        <v>112</v>
      </c>
      <c r="C1" s="250"/>
      <c r="D1" s="250"/>
      <c r="E1" s="250"/>
      <c r="F1" s="250" t="s">
        <v>113</v>
      </c>
      <c r="G1" s="250"/>
      <c r="H1" s="250"/>
      <c r="I1" s="250"/>
      <c r="J1" s="250" t="s">
        <v>114</v>
      </c>
      <c r="K1" s="250"/>
      <c r="L1" s="250"/>
      <c r="M1" s="250"/>
      <c r="N1" s="250" t="s">
        <v>115</v>
      </c>
      <c r="O1" s="250"/>
      <c r="P1" s="250"/>
      <c r="Q1" s="250"/>
      <c r="R1" s="250" t="s">
        <v>116</v>
      </c>
      <c r="S1" s="250"/>
      <c r="T1" s="250"/>
      <c r="U1" s="250"/>
    </row>
    <row r="2" spans="1:21" s="35" customFormat="1" ht="30" x14ac:dyDescent="0.2">
      <c r="A2" s="251"/>
      <c r="B2" s="188" t="s">
        <v>350</v>
      </c>
      <c r="C2" s="188" t="s">
        <v>351</v>
      </c>
      <c r="D2" s="188" t="s">
        <v>352</v>
      </c>
      <c r="E2" s="189" t="s">
        <v>353</v>
      </c>
      <c r="F2" s="188" t="s">
        <v>350</v>
      </c>
      <c r="G2" s="188" t="s">
        <v>351</v>
      </c>
      <c r="H2" s="188" t="s">
        <v>352</v>
      </c>
      <c r="I2" s="188" t="s">
        <v>353</v>
      </c>
      <c r="J2" s="188" t="s">
        <v>350</v>
      </c>
      <c r="K2" s="188" t="s">
        <v>351</v>
      </c>
      <c r="L2" s="188" t="s">
        <v>354</v>
      </c>
      <c r="M2" s="188" t="s">
        <v>353</v>
      </c>
      <c r="N2" s="188" t="s">
        <v>350</v>
      </c>
      <c r="O2" s="188" t="s">
        <v>351</v>
      </c>
      <c r="P2" s="188" t="s">
        <v>352</v>
      </c>
      <c r="Q2" s="188" t="s">
        <v>353</v>
      </c>
      <c r="R2" s="188" t="s">
        <v>350</v>
      </c>
      <c r="S2" s="188" t="s">
        <v>355</v>
      </c>
      <c r="T2" s="188" t="s">
        <v>352</v>
      </c>
      <c r="U2" s="188" t="s">
        <v>353</v>
      </c>
    </row>
    <row r="3" spans="1:21" ht="112" x14ac:dyDescent="0.2">
      <c r="A3" s="190" t="s">
        <v>337</v>
      </c>
      <c r="B3" s="191">
        <v>1050</v>
      </c>
      <c r="C3" s="191">
        <v>1050</v>
      </c>
      <c r="D3" s="191">
        <v>1050</v>
      </c>
      <c r="E3" s="191">
        <v>1050</v>
      </c>
      <c r="F3" s="191">
        <v>1050</v>
      </c>
      <c r="G3" s="191">
        <v>1050</v>
      </c>
      <c r="H3" s="191">
        <v>1050</v>
      </c>
      <c r="I3" s="191">
        <v>1050</v>
      </c>
      <c r="J3" s="191">
        <v>1050</v>
      </c>
      <c r="K3" s="191">
        <v>1050</v>
      </c>
      <c r="L3" s="191">
        <v>1050</v>
      </c>
      <c r="M3" s="191">
        <v>1050</v>
      </c>
      <c r="N3" s="191">
        <v>1050</v>
      </c>
      <c r="O3" s="191">
        <v>1050</v>
      </c>
      <c r="P3" s="191">
        <v>1050</v>
      </c>
      <c r="Q3" s="191">
        <v>1050</v>
      </c>
      <c r="R3" s="191">
        <v>1050</v>
      </c>
      <c r="S3" s="191">
        <v>1050</v>
      </c>
      <c r="T3" s="191">
        <v>1050</v>
      </c>
      <c r="U3" s="191">
        <v>1050</v>
      </c>
    </row>
    <row r="4" spans="1:21" ht="144" x14ac:dyDescent="0.2">
      <c r="A4" s="190" t="s">
        <v>338</v>
      </c>
      <c r="B4" s="192"/>
      <c r="C4" s="193">
        <v>1500</v>
      </c>
      <c r="D4" s="193">
        <v>1500</v>
      </c>
      <c r="E4" s="193">
        <v>1500</v>
      </c>
      <c r="F4" s="193">
        <v>1500</v>
      </c>
      <c r="G4" s="193">
        <v>1500</v>
      </c>
      <c r="H4" s="193">
        <v>1500</v>
      </c>
      <c r="I4" s="193">
        <v>1500</v>
      </c>
      <c r="J4" s="193">
        <v>1500</v>
      </c>
      <c r="K4" s="193">
        <v>1500</v>
      </c>
      <c r="L4" s="193">
        <v>1500</v>
      </c>
      <c r="M4" s="193">
        <v>1500</v>
      </c>
      <c r="N4" s="193">
        <v>1500</v>
      </c>
      <c r="O4" s="193">
        <v>1500</v>
      </c>
      <c r="P4" s="193">
        <v>1500</v>
      </c>
      <c r="Q4" s="193">
        <v>1500</v>
      </c>
      <c r="R4" s="193">
        <v>1500</v>
      </c>
      <c r="S4" s="193">
        <v>1500</v>
      </c>
      <c r="T4" s="193">
        <v>1500</v>
      </c>
      <c r="U4" s="193">
        <v>1500</v>
      </c>
    </row>
    <row r="5" spans="1:21" ht="64" x14ac:dyDescent="0.2">
      <c r="A5" s="190" t="s">
        <v>339</v>
      </c>
      <c r="B5" s="194">
        <v>1000</v>
      </c>
      <c r="C5" s="192"/>
      <c r="D5" s="192"/>
      <c r="E5" s="192"/>
      <c r="F5" s="192"/>
      <c r="G5" s="194">
        <v>1000</v>
      </c>
      <c r="H5" s="192"/>
      <c r="I5" s="192"/>
      <c r="J5" s="192"/>
      <c r="K5" s="194">
        <v>1000</v>
      </c>
      <c r="L5" s="192"/>
      <c r="M5" s="192"/>
      <c r="N5" s="192"/>
      <c r="O5" s="194">
        <v>1000</v>
      </c>
      <c r="P5" s="192"/>
      <c r="Q5" s="192"/>
      <c r="R5" s="192"/>
      <c r="S5" s="194">
        <v>1000</v>
      </c>
      <c r="T5" s="192"/>
      <c r="U5" s="192"/>
    </row>
    <row r="6" spans="1:21" ht="128" x14ac:dyDescent="0.2">
      <c r="A6" s="190" t="s">
        <v>340</v>
      </c>
      <c r="B6" s="195">
        <v>1000</v>
      </c>
      <c r="C6" s="195">
        <v>1000</v>
      </c>
      <c r="D6" s="195">
        <v>1000</v>
      </c>
      <c r="E6" s="195">
        <v>1000</v>
      </c>
      <c r="F6" s="195">
        <v>1000</v>
      </c>
      <c r="G6" s="195">
        <v>1000</v>
      </c>
      <c r="H6" s="195">
        <v>1000</v>
      </c>
      <c r="I6" s="195">
        <v>1000</v>
      </c>
      <c r="J6" s="195">
        <v>1000</v>
      </c>
      <c r="K6" s="195">
        <v>1000</v>
      </c>
      <c r="L6" s="195">
        <v>1000</v>
      </c>
      <c r="M6" s="195">
        <v>1000</v>
      </c>
      <c r="N6" s="195">
        <v>1000</v>
      </c>
      <c r="O6" s="195">
        <v>1000</v>
      </c>
      <c r="P6" s="195">
        <v>1000</v>
      </c>
      <c r="Q6" s="195">
        <v>1000</v>
      </c>
      <c r="R6" s="195">
        <v>1000</v>
      </c>
      <c r="S6" s="195">
        <v>1000</v>
      </c>
      <c r="T6" s="195">
        <v>1000</v>
      </c>
      <c r="U6" s="195">
        <v>1000</v>
      </c>
    </row>
    <row r="7" spans="1:21" ht="32" x14ac:dyDescent="0.2">
      <c r="A7" s="190" t="s">
        <v>341</v>
      </c>
      <c r="B7" s="196"/>
      <c r="C7" s="191">
        <v>800</v>
      </c>
      <c r="D7" s="196"/>
      <c r="E7" s="196"/>
      <c r="F7" s="196"/>
      <c r="G7" s="191">
        <v>800</v>
      </c>
      <c r="H7" s="196"/>
      <c r="I7" s="196"/>
      <c r="J7" s="196"/>
      <c r="K7" s="191">
        <v>800</v>
      </c>
      <c r="L7" s="196"/>
      <c r="M7" s="196"/>
      <c r="N7" s="196"/>
      <c r="O7" s="191">
        <v>800</v>
      </c>
      <c r="P7" s="196"/>
      <c r="Q7" s="196"/>
      <c r="R7" s="196"/>
      <c r="S7" s="197">
        <v>800</v>
      </c>
      <c r="T7" s="196"/>
      <c r="U7" s="196"/>
    </row>
    <row r="8" spans="1:21" ht="48" x14ac:dyDescent="0.2">
      <c r="A8" s="190" t="s">
        <v>342</v>
      </c>
      <c r="B8" s="198">
        <v>3000</v>
      </c>
      <c r="C8" s="196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</row>
    <row r="9" spans="1:21" ht="32" x14ac:dyDescent="0.2">
      <c r="A9" s="190" t="s">
        <v>343</v>
      </c>
      <c r="B9" s="195">
        <v>700</v>
      </c>
      <c r="C9" s="196"/>
      <c r="D9" s="196"/>
      <c r="E9" s="196"/>
      <c r="F9" s="196"/>
      <c r="G9" s="196"/>
      <c r="H9" s="195">
        <v>700</v>
      </c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</row>
    <row r="10" spans="1:21" ht="32" x14ac:dyDescent="0.2">
      <c r="A10" s="190" t="s">
        <v>344</v>
      </c>
      <c r="B10" s="199">
        <v>10000</v>
      </c>
      <c r="C10" s="196"/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</row>
    <row r="11" spans="1:21" ht="32" x14ac:dyDescent="0.2">
      <c r="A11" s="190" t="s">
        <v>345</v>
      </c>
      <c r="B11" s="198">
        <v>5000</v>
      </c>
      <c r="C11" s="196"/>
      <c r="D11" s="196"/>
      <c r="E11" s="196"/>
      <c r="F11" s="196"/>
      <c r="G11" s="196"/>
      <c r="H11" s="196"/>
      <c r="I11" s="196"/>
      <c r="J11" s="196"/>
      <c r="K11" s="196"/>
      <c r="L11" s="196"/>
      <c r="M11" s="196"/>
      <c r="N11" s="196"/>
      <c r="O11" s="196"/>
      <c r="P11" s="196"/>
      <c r="Q11" s="196"/>
      <c r="R11" s="196"/>
      <c r="S11" s="196"/>
      <c r="T11" s="196"/>
      <c r="U11" s="196"/>
    </row>
    <row r="12" spans="1:21" ht="32" x14ac:dyDescent="0.2">
      <c r="A12" s="200" t="s">
        <v>346</v>
      </c>
      <c r="B12" s="201">
        <v>800</v>
      </c>
      <c r="C12" s="192"/>
      <c r="D12" s="192"/>
      <c r="E12" s="201">
        <v>800</v>
      </c>
      <c r="F12" s="192"/>
      <c r="G12" s="192"/>
      <c r="H12" s="202"/>
      <c r="I12" s="203">
        <v>800</v>
      </c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</row>
    <row r="13" spans="1:21" ht="176" x14ac:dyDescent="0.2">
      <c r="A13" s="204" t="s">
        <v>347</v>
      </c>
      <c r="B13" s="205">
        <v>1000</v>
      </c>
      <c r="C13" s="206"/>
      <c r="D13" s="206"/>
      <c r="E13" s="206"/>
      <c r="F13" s="206"/>
      <c r="G13" s="206"/>
      <c r="H13" s="207"/>
      <c r="I13" s="208"/>
      <c r="J13" s="208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</row>
    <row r="14" spans="1:21" ht="48" x14ac:dyDescent="0.2">
      <c r="A14" s="200" t="s">
        <v>348</v>
      </c>
      <c r="B14" s="200"/>
      <c r="C14" s="200"/>
      <c r="D14" s="200"/>
      <c r="E14" s="209">
        <v>5000</v>
      </c>
      <c r="F14" s="200"/>
      <c r="G14" s="200"/>
      <c r="H14" s="200"/>
      <c r="I14" s="209">
        <v>5000</v>
      </c>
      <c r="J14" s="200"/>
      <c r="K14" s="200"/>
      <c r="L14" s="200"/>
      <c r="M14" s="209">
        <v>5000</v>
      </c>
      <c r="N14" s="200"/>
      <c r="O14" s="200"/>
      <c r="P14" s="200"/>
      <c r="Q14" s="209">
        <v>5000</v>
      </c>
      <c r="R14" s="200"/>
      <c r="S14" s="200"/>
      <c r="T14" s="200"/>
      <c r="U14" s="200">
        <v>5000</v>
      </c>
    </row>
    <row r="15" spans="1:21" ht="96" x14ac:dyDescent="0.2">
      <c r="A15" s="200" t="s">
        <v>349</v>
      </c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10">
        <v>50000</v>
      </c>
      <c r="O15" s="200"/>
      <c r="P15" s="200"/>
      <c r="Q15" s="200"/>
      <c r="R15" s="200"/>
      <c r="S15" s="200"/>
      <c r="T15" s="200"/>
      <c r="U15" s="200"/>
    </row>
    <row r="16" spans="1:21" x14ac:dyDescent="0.2">
      <c r="B16" s="200">
        <f t="shared" ref="B16:U16" si="0">SUM(B3:B15)</f>
        <v>23550</v>
      </c>
      <c r="C16" s="200">
        <f t="shared" si="0"/>
        <v>4350</v>
      </c>
      <c r="D16" s="200">
        <f t="shared" si="0"/>
        <v>3550</v>
      </c>
      <c r="E16" s="200">
        <f t="shared" si="0"/>
        <v>9350</v>
      </c>
      <c r="F16" s="200">
        <f t="shared" si="0"/>
        <v>3550</v>
      </c>
      <c r="G16" s="200">
        <f t="shared" si="0"/>
        <v>5350</v>
      </c>
      <c r="H16" s="200">
        <f t="shared" si="0"/>
        <v>4250</v>
      </c>
      <c r="I16" s="200">
        <f t="shared" si="0"/>
        <v>9350</v>
      </c>
      <c r="J16" s="200">
        <f t="shared" si="0"/>
        <v>3550</v>
      </c>
      <c r="K16" s="200">
        <f t="shared" si="0"/>
        <v>5350</v>
      </c>
      <c r="L16" s="200">
        <f t="shared" si="0"/>
        <v>3550</v>
      </c>
      <c r="M16" s="200">
        <f t="shared" si="0"/>
        <v>8550</v>
      </c>
      <c r="N16" s="200">
        <f t="shared" si="0"/>
        <v>53550</v>
      </c>
      <c r="O16" s="200">
        <f t="shared" si="0"/>
        <v>5350</v>
      </c>
      <c r="P16" s="200">
        <f t="shared" si="0"/>
        <v>3550</v>
      </c>
      <c r="Q16" s="200">
        <f t="shared" si="0"/>
        <v>8550</v>
      </c>
      <c r="R16" s="200">
        <f t="shared" si="0"/>
        <v>3550</v>
      </c>
      <c r="S16" s="200">
        <f t="shared" si="0"/>
        <v>5350</v>
      </c>
      <c r="T16" s="200">
        <f t="shared" si="0"/>
        <v>3550</v>
      </c>
      <c r="U16" s="200">
        <f t="shared" si="0"/>
        <v>8550</v>
      </c>
    </row>
    <row r="17" spans="2:18" x14ac:dyDescent="0.2">
      <c r="B17">
        <f>SUM(B16:E16)</f>
        <v>40800</v>
      </c>
      <c r="F17">
        <f>SUM(F16:I16)</f>
        <v>22500</v>
      </c>
      <c r="J17">
        <f>SUM(J16:M16)</f>
        <v>21000</v>
      </c>
      <c r="N17">
        <f>SUM(N16:Q16)</f>
        <v>71000</v>
      </c>
      <c r="R17">
        <f>SUM(R16:U16)</f>
        <v>21000</v>
      </c>
    </row>
  </sheetData>
  <mergeCells count="6">
    <mergeCell ref="R1:U1"/>
    <mergeCell ref="A1:A2"/>
    <mergeCell ref="B1:E1"/>
    <mergeCell ref="F1:I1"/>
    <mergeCell ref="J1:M1"/>
    <mergeCell ref="N1:Q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39"/>
  <sheetViews>
    <sheetView topLeftCell="A31" zoomScaleNormal="100" workbookViewId="0">
      <selection activeCell="N13" sqref="N13"/>
    </sheetView>
  </sheetViews>
  <sheetFormatPr baseColWidth="10" defaultColWidth="8.83203125" defaultRowHeight="15" x14ac:dyDescent="0.2"/>
  <cols>
    <col min="1" max="1" width="28.1640625" customWidth="1"/>
    <col min="2" max="1025" width="10.5" customWidth="1"/>
  </cols>
  <sheetData>
    <row r="1" spans="1:16" ht="20.25" customHeight="1" x14ac:dyDescent="0.2">
      <c r="A1" s="211" t="s">
        <v>214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35"/>
      <c r="M1" s="35"/>
      <c r="N1" s="64"/>
      <c r="O1" s="65"/>
      <c r="P1" s="35"/>
    </row>
    <row r="2" spans="1:16" x14ac:dyDescent="0.2">
      <c r="A2" s="70" t="s">
        <v>215</v>
      </c>
      <c r="B2" s="112">
        <f>'Invest-Amort et TVA'!D36</f>
        <v>662550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64"/>
      <c r="O2" s="65"/>
      <c r="P2" s="35"/>
    </row>
    <row r="3" spans="1:16" ht="28" x14ac:dyDescent="0.2">
      <c r="A3" s="67"/>
      <c r="B3" s="39" t="s">
        <v>145</v>
      </c>
      <c r="C3" s="39" t="s">
        <v>146</v>
      </c>
      <c r="D3" s="39" t="s">
        <v>147</v>
      </c>
      <c r="E3" s="39" t="s">
        <v>148</v>
      </c>
      <c r="F3" s="39" t="s">
        <v>149</v>
      </c>
      <c r="G3" s="39" t="s">
        <v>150</v>
      </c>
      <c r="H3" s="39" t="s">
        <v>151</v>
      </c>
      <c r="I3" s="39" t="s">
        <v>152</v>
      </c>
      <c r="J3" s="39" t="s">
        <v>153</v>
      </c>
      <c r="K3" s="39" t="s">
        <v>154</v>
      </c>
      <c r="L3" s="39" t="s">
        <v>155</v>
      </c>
      <c r="M3" s="39" t="s">
        <v>156</v>
      </c>
      <c r="N3" s="68" t="s">
        <v>157</v>
      </c>
      <c r="O3" s="69"/>
      <c r="P3" s="35"/>
    </row>
    <row r="4" spans="1:16" ht="15.75" customHeight="1" x14ac:dyDescent="0.2">
      <c r="A4" s="252" t="s">
        <v>356</v>
      </c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65"/>
      <c r="P4" s="35"/>
    </row>
    <row r="5" spans="1:16" x14ac:dyDescent="0.2">
      <c r="A5" s="70" t="s">
        <v>158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2"/>
      <c r="O5" s="65"/>
      <c r="P5" s="35"/>
    </row>
    <row r="6" spans="1:16" x14ac:dyDescent="0.2">
      <c r="A6" s="73" t="s">
        <v>159</v>
      </c>
      <c r="B6" s="74">
        <f>'Charges d''exploitation'!C5</f>
        <v>7020</v>
      </c>
      <c r="C6" s="74">
        <f>'Charges d''exploitation'!D5</f>
        <v>14820</v>
      </c>
      <c r="D6" s="74">
        <f>'Charges d''exploitation'!E5</f>
        <v>22230</v>
      </c>
      <c r="E6" s="74">
        <f>'Charges d''exploitation'!F5</f>
        <v>37050</v>
      </c>
      <c r="F6" s="74">
        <f>'Charges d''exploitation'!G5</f>
        <v>51870</v>
      </c>
      <c r="G6" s="74">
        <f>'Charges d''exploitation'!H5</f>
        <v>62985</v>
      </c>
      <c r="H6" s="74">
        <f>'Charges d''exploitation'!I5</f>
        <v>74100</v>
      </c>
      <c r="I6" s="74">
        <f>'Charges d''exploitation'!J5</f>
        <v>74100</v>
      </c>
      <c r="J6" s="74">
        <f>'Charges d''exploitation'!K5</f>
        <v>74100</v>
      </c>
      <c r="K6" s="74">
        <f>'Charges d''exploitation'!L5</f>
        <v>74100</v>
      </c>
      <c r="L6" s="74">
        <f>'Charges d''exploitation'!M5</f>
        <v>74100</v>
      </c>
      <c r="M6" s="74">
        <f>'Charges d''exploitation'!N5</f>
        <v>74100</v>
      </c>
      <c r="N6" s="75">
        <f>SUM(B6:M6)</f>
        <v>640575</v>
      </c>
      <c r="O6" s="65"/>
      <c r="P6" s="35"/>
    </row>
    <row r="7" spans="1:16" x14ac:dyDescent="0.2">
      <c r="A7" s="73" t="s">
        <v>160</v>
      </c>
      <c r="B7" s="74">
        <f>'Charges d''exploitation'!C6</f>
        <v>3094.1520480000008</v>
      </c>
      <c r="C7" s="74">
        <f>'Charges d''exploitation'!D6</f>
        <v>6188.3040960000017</v>
      </c>
      <c r="D7" s="74">
        <f>'Charges d''exploitation'!E6</f>
        <v>9282.4561440000016</v>
      </c>
      <c r="E7" s="74">
        <f>'Charges d''exploitation'!F6</f>
        <v>15470.760240000001</v>
      </c>
      <c r="F7" s="74">
        <f>'Charges d''exploitation'!G6</f>
        <v>21659.064336000003</v>
      </c>
      <c r="G7" s="74">
        <f>'Charges d''exploitation'!H6</f>
        <v>26300.292408000005</v>
      </c>
      <c r="H7" s="74">
        <f>'Charges d''exploitation'!I6</f>
        <v>30941.520480000003</v>
      </c>
      <c r="I7" s="74">
        <f>'Charges d''exploitation'!J6</f>
        <v>30941.520480000003</v>
      </c>
      <c r="J7" s="74">
        <f>'Charges d''exploitation'!K6</f>
        <v>30941.520480000003</v>
      </c>
      <c r="K7" s="74">
        <f>'Charges d''exploitation'!L6</f>
        <v>30941.520480000003</v>
      </c>
      <c r="L7" s="74">
        <f>'Charges d''exploitation'!M6</f>
        <v>30941.520480000003</v>
      </c>
      <c r="M7" s="74">
        <f>'Charges d''exploitation'!N6</f>
        <v>30941.520480000003</v>
      </c>
      <c r="N7" s="75">
        <f>SUM(B7:M7)</f>
        <v>267644.15215200005</v>
      </c>
      <c r="O7" s="65"/>
      <c r="P7" s="35"/>
    </row>
    <row r="8" spans="1:16" x14ac:dyDescent="0.2">
      <c r="A8" s="73" t="s">
        <v>161</v>
      </c>
      <c r="B8" s="74">
        <f>'Charges d''exploitation'!C7</f>
        <v>2280</v>
      </c>
      <c r="C8" s="74">
        <f>'Charges d''exploitation'!D7</f>
        <v>4560</v>
      </c>
      <c r="D8" s="74">
        <f>'Charges d''exploitation'!E7</f>
        <v>6840</v>
      </c>
      <c r="E8" s="74">
        <f>'Charges d''exploitation'!F7</f>
        <v>11400</v>
      </c>
      <c r="F8" s="74">
        <f>'Charges d''exploitation'!G7</f>
        <v>15960</v>
      </c>
      <c r="G8" s="74">
        <f>'Charges d''exploitation'!H7</f>
        <v>19380</v>
      </c>
      <c r="H8" s="74">
        <f>'Charges d''exploitation'!I7</f>
        <v>22800</v>
      </c>
      <c r="I8" s="74">
        <f>'Charges d''exploitation'!J7</f>
        <v>22800</v>
      </c>
      <c r="J8" s="74">
        <f>'Charges d''exploitation'!K7</f>
        <v>22800</v>
      </c>
      <c r="K8" s="74">
        <f>'Charges d''exploitation'!L7</f>
        <v>22800</v>
      </c>
      <c r="L8" s="74">
        <f>'Charges d''exploitation'!M7</f>
        <v>22800</v>
      </c>
      <c r="M8" s="74">
        <f>'Charges d''exploitation'!N7</f>
        <v>22800</v>
      </c>
      <c r="N8" s="75">
        <f>SUM(B8:M8)</f>
        <v>197220</v>
      </c>
      <c r="O8" s="65"/>
      <c r="P8" s="35"/>
    </row>
    <row r="9" spans="1:16" x14ac:dyDescent="0.2">
      <c r="A9" s="76" t="s">
        <v>162</v>
      </c>
      <c r="B9" s="77">
        <f t="shared" ref="B9:N9" si="0">SUM(B6:B8)</f>
        <v>12394.152048</v>
      </c>
      <c r="C9" s="77">
        <f t="shared" si="0"/>
        <v>25568.304096</v>
      </c>
      <c r="D9" s="77">
        <f t="shared" si="0"/>
        <v>38352.456144000003</v>
      </c>
      <c r="E9" s="77">
        <f t="shared" si="0"/>
        <v>63920.760240000003</v>
      </c>
      <c r="F9" s="77">
        <f t="shared" si="0"/>
        <v>89489.06433600001</v>
      </c>
      <c r="G9" s="77">
        <f t="shared" si="0"/>
        <v>108665.29240800001</v>
      </c>
      <c r="H9" s="77">
        <f t="shared" si="0"/>
        <v>127841.52048000001</v>
      </c>
      <c r="I9" s="77">
        <f t="shared" si="0"/>
        <v>127841.52048000001</v>
      </c>
      <c r="J9" s="77">
        <f t="shared" si="0"/>
        <v>127841.52048000001</v>
      </c>
      <c r="K9" s="77">
        <f t="shared" si="0"/>
        <v>127841.52048000001</v>
      </c>
      <c r="L9" s="77">
        <f t="shared" si="0"/>
        <v>127841.52048000001</v>
      </c>
      <c r="M9" s="77">
        <f t="shared" si="0"/>
        <v>127841.52048000001</v>
      </c>
      <c r="N9" s="77">
        <f t="shared" si="0"/>
        <v>1105439.152152</v>
      </c>
      <c r="O9" s="78"/>
      <c r="P9" s="78"/>
    </row>
    <row r="10" spans="1:16" x14ac:dyDescent="0.2">
      <c r="A10" s="73" t="s">
        <v>124</v>
      </c>
      <c r="B10" s="74">
        <f>'Charges d''exploitation'!C9</f>
        <v>0</v>
      </c>
      <c r="C10" s="74">
        <f>'Charges d''exploitation'!D9</f>
        <v>0</v>
      </c>
      <c r="D10" s="74">
        <f>'Charges d''exploitation'!E9</f>
        <v>0</v>
      </c>
      <c r="E10" s="74">
        <f>'Charges d''exploitation'!F9</f>
        <v>0</v>
      </c>
      <c r="F10" s="74">
        <f>'Charges d''exploitation'!G9</f>
        <v>0</v>
      </c>
      <c r="G10" s="74">
        <f>'Charges d''exploitation'!H9</f>
        <v>0</v>
      </c>
      <c r="H10" s="74">
        <f>'Charges d''exploitation'!I9</f>
        <v>0</v>
      </c>
      <c r="I10" s="74">
        <f>'Charges d''exploitation'!J9</f>
        <v>0</v>
      </c>
      <c r="J10" s="74">
        <f>'Charges d''exploitation'!K9</f>
        <v>20342.880000000005</v>
      </c>
      <c r="K10" s="74">
        <f>'Charges d''exploitation'!L9</f>
        <v>0</v>
      </c>
      <c r="L10" s="74">
        <f>'Charges d''exploitation'!M9</f>
        <v>0</v>
      </c>
      <c r="M10" s="74">
        <f>'Charges d''exploitation'!N9</f>
        <v>20342.880000000005</v>
      </c>
      <c r="N10" s="75">
        <f>SUM(B10:M10)</f>
        <v>40685.760000000009</v>
      </c>
      <c r="O10" s="65"/>
      <c r="P10" s="35"/>
    </row>
    <row r="11" spans="1:16" x14ac:dyDescent="0.2">
      <c r="A11" s="73" t="s">
        <v>125</v>
      </c>
      <c r="B11" s="74">
        <f>'Charges d''exploitation'!C10</f>
        <v>332.5</v>
      </c>
      <c r="C11" s="74">
        <f>'Charges d''exploitation'!D10</f>
        <v>665</v>
      </c>
      <c r="D11" s="74">
        <f>'Charges d''exploitation'!E10</f>
        <v>997.5</v>
      </c>
      <c r="E11" s="74">
        <f>'Charges d''exploitation'!F10</f>
        <v>1662.5</v>
      </c>
      <c r="F11" s="74">
        <f>'Charges d''exploitation'!G10</f>
        <v>2327.5</v>
      </c>
      <c r="G11" s="74">
        <f>'Charges d''exploitation'!H10</f>
        <v>2826.25</v>
      </c>
      <c r="H11" s="74">
        <f>'Charges d''exploitation'!I10</f>
        <v>3325</v>
      </c>
      <c r="I11" s="74">
        <f>'Charges d''exploitation'!J10</f>
        <v>3325</v>
      </c>
      <c r="J11" s="74">
        <f>'Charges d''exploitation'!K10</f>
        <v>3325</v>
      </c>
      <c r="K11" s="74">
        <f>'Charges d''exploitation'!L10</f>
        <v>3325</v>
      </c>
      <c r="L11" s="74">
        <f>'Charges d''exploitation'!M10</f>
        <v>3325</v>
      </c>
      <c r="M11" s="74">
        <f>'Charges d''exploitation'!N10</f>
        <v>3325</v>
      </c>
      <c r="N11" s="75">
        <f>SUM(B11:M11)</f>
        <v>28761.25</v>
      </c>
      <c r="O11" s="65"/>
      <c r="P11" s="35"/>
    </row>
    <row r="12" spans="1:16" x14ac:dyDescent="0.2">
      <c r="A12" s="76" t="s">
        <v>163</v>
      </c>
      <c r="B12" s="77">
        <f t="shared" ref="B12:N12" si="1">SUM(B10:B11)</f>
        <v>332.5</v>
      </c>
      <c r="C12" s="77">
        <f t="shared" si="1"/>
        <v>665</v>
      </c>
      <c r="D12" s="77">
        <f t="shared" si="1"/>
        <v>997.5</v>
      </c>
      <c r="E12" s="77">
        <f t="shared" si="1"/>
        <v>1662.5</v>
      </c>
      <c r="F12" s="77">
        <f t="shared" si="1"/>
        <v>2327.5</v>
      </c>
      <c r="G12" s="77">
        <f t="shared" si="1"/>
        <v>2826.25</v>
      </c>
      <c r="H12" s="77">
        <f t="shared" si="1"/>
        <v>3325</v>
      </c>
      <c r="I12" s="77">
        <f t="shared" si="1"/>
        <v>3325</v>
      </c>
      <c r="J12" s="77">
        <f t="shared" si="1"/>
        <v>23667.880000000005</v>
      </c>
      <c r="K12" s="77">
        <f t="shared" si="1"/>
        <v>3325</v>
      </c>
      <c r="L12" s="77">
        <f t="shared" si="1"/>
        <v>3325</v>
      </c>
      <c r="M12" s="77">
        <f t="shared" si="1"/>
        <v>23667.880000000005</v>
      </c>
      <c r="N12" s="77">
        <f t="shared" si="1"/>
        <v>69447.010000000009</v>
      </c>
      <c r="O12" s="78"/>
      <c r="P12" s="78"/>
    </row>
    <row r="13" spans="1:16" x14ac:dyDescent="0.2">
      <c r="A13" s="76" t="s">
        <v>164</v>
      </c>
      <c r="B13" s="77">
        <f t="shared" ref="B13:N13" si="2">SUM(B9+B12)</f>
        <v>12726.652048</v>
      </c>
      <c r="C13" s="77">
        <f t="shared" si="2"/>
        <v>26233.304096</v>
      </c>
      <c r="D13" s="77">
        <f t="shared" si="2"/>
        <v>39349.956144000003</v>
      </c>
      <c r="E13" s="77">
        <f t="shared" si="2"/>
        <v>65583.260240000003</v>
      </c>
      <c r="F13" s="77">
        <f t="shared" si="2"/>
        <v>91816.56433600001</v>
      </c>
      <c r="G13" s="77">
        <f t="shared" si="2"/>
        <v>111491.54240800001</v>
      </c>
      <c r="H13" s="77">
        <f t="shared" si="2"/>
        <v>131166.52048000001</v>
      </c>
      <c r="I13" s="77">
        <f t="shared" si="2"/>
        <v>131166.52048000001</v>
      </c>
      <c r="J13" s="77">
        <f t="shared" si="2"/>
        <v>151509.40048000001</v>
      </c>
      <c r="K13" s="77">
        <f t="shared" si="2"/>
        <v>131166.52048000001</v>
      </c>
      <c r="L13" s="77">
        <f t="shared" si="2"/>
        <v>131166.52048000001</v>
      </c>
      <c r="M13" s="77">
        <f t="shared" si="2"/>
        <v>151509.40048000001</v>
      </c>
      <c r="N13" s="77">
        <f t="shared" si="2"/>
        <v>1174886.162152</v>
      </c>
      <c r="O13" s="78"/>
      <c r="P13" s="78"/>
    </row>
    <row r="14" spans="1:16" ht="15.75" customHeight="1" x14ac:dyDescent="0.2">
      <c r="A14" s="252" t="s">
        <v>357</v>
      </c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  <c r="O14" s="65"/>
      <c r="P14" s="35"/>
    </row>
    <row r="15" spans="1:16" x14ac:dyDescent="0.2">
      <c r="A15" s="70" t="s">
        <v>189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80"/>
      <c r="O15" s="65"/>
      <c r="P15" s="35"/>
    </row>
    <row r="16" spans="1:16" ht="16" x14ac:dyDescent="0.2">
      <c r="A16" s="67" t="s">
        <v>166</v>
      </c>
      <c r="B16" s="14">
        <f>'Charges d''exploitation'!C14</f>
        <v>100</v>
      </c>
      <c r="C16" s="14">
        <f>'Charges d''exploitation'!D14</f>
        <v>100</v>
      </c>
      <c r="D16" s="14">
        <f>'Charges d''exploitation'!E14</f>
        <v>100</v>
      </c>
      <c r="E16" s="14">
        <f>'Charges d''exploitation'!F14</f>
        <v>100</v>
      </c>
      <c r="F16" s="14">
        <f>'Charges d''exploitation'!G14</f>
        <v>100</v>
      </c>
      <c r="G16" s="14">
        <f>'Charges d''exploitation'!H14</f>
        <v>100</v>
      </c>
      <c r="H16" s="14">
        <f>'Charges d''exploitation'!I14</f>
        <v>100</v>
      </c>
      <c r="I16" s="14">
        <f>'Charges d''exploitation'!J14</f>
        <v>100</v>
      </c>
      <c r="J16" s="14">
        <f>'Charges d''exploitation'!K14</f>
        <v>100</v>
      </c>
      <c r="K16" s="14">
        <f>'Charges d''exploitation'!L14</f>
        <v>100</v>
      </c>
      <c r="L16" s="14">
        <f>'Charges d''exploitation'!M14</f>
        <v>100</v>
      </c>
      <c r="M16" s="14">
        <f>'Charges d''exploitation'!N14</f>
        <v>100</v>
      </c>
      <c r="N16" s="81">
        <f>SUM(B16:M16)</f>
        <v>1200</v>
      </c>
      <c r="O16" s="65">
        <v>0.18</v>
      </c>
      <c r="P16" s="35">
        <f>+N16*O16</f>
        <v>216</v>
      </c>
    </row>
    <row r="17" spans="1:16" ht="16" x14ac:dyDescent="0.2">
      <c r="A17" s="67" t="s">
        <v>167</v>
      </c>
      <c r="B17" s="14">
        <f>'Charges d''exploitation'!C15</f>
        <v>400</v>
      </c>
      <c r="C17" s="14">
        <f>'Charges d''exploitation'!D15</f>
        <v>400</v>
      </c>
      <c r="D17" s="14">
        <f>'Charges d''exploitation'!E15</f>
        <v>400</v>
      </c>
      <c r="E17" s="14">
        <f>'Charges d''exploitation'!F15</f>
        <v>400</v>
      </c>
      <c r="F17" s="14">
        <f>'Charges d''exploitation'!G15</f>
        <v>400</v>
      </c>
      <c r="G17" s="14">
        <f>'Charges d''exploitation'!H15</f>
        <v>400</v>
      </c>
      <c r="H17" s="14">
        <f>'Charges d''exploitation'!I15</f>
        <v>400</v>
      </c>
      <c r="I17" s="14">
        <f>'Charges d''exploitation'!J15</f>
        <v>400</v>
      </c>
      <c r="J17" s="14">
        <f>'Charges d''exploitation'!K15</f>
        <v>400</v>
      </c>
      <c r="K17" s="14">
        <f>'Charges d''exploitation'!L15</f>
        <v>400</v>
      </c>
      <c r="L17" s="14">
        <f>'Charges d''exploitation'!M15</f>
        <v>400</v>
      </c>
      <c r="M17" s="14">
        <f>'Charges d''exploitation'!N15</f>
        <v>400</v>
      </c>
      <c r="N17" s="81">
        <f>SUM(B17:M17)</f>
        <v>4800</v>
      </c>
      <c r="O17" s="65">
        <v>0.12</v>
      </c>
      <c r="P17" s="35">
        <f>+N17*O17</f>
        <v>576</v>
      </c>
    </row>
    <row r="18" spans="1:16" ht="16" x14ac:dyDescent="0.2">
      <c r="A18" s="67" t="s">
        <v>168</v>
      </c>
      <c r="B18" s="14">
        <f>'Charges d''exploitation'!C16</f>
        <v>500</v>
      </c>
      <c r="C18" s="14">
        <f>'Charges d''exploitation'!D16</f>
        <v>500</v>
      </c>
      <c r="D18" s="14">
        <f>'Charges d''exploitation'!E16</f>
        <v>500</v>
      </c>
      <c r="E18" s="14">
        <f>'Charges d''exploitation'!F16</f>
        <v>500</v>
      </c>
      <c r="F18" s="14">
        <f>'Charges d''exploitation'!G16</f>
        <v>500</v>
      </c>
      <c r="G18" s="14">
        <f>'Charges d''exploitation'!H16</f>
        <v>500</v>
      </c>
      <c r="H18" s="14">
        <f>'Charges d''exploitation'!I16</f>
        <v>500</v>
      </c>
      <c r="I18" s="14">
        <f>'Charges d''exploitation'!J16</f>
        <v>500</v>
      </c>
      <c r="J18" s="14">
        <f>'Charges d''exploitation'!K16</f>
        <v>500</v>
      </c>
      <c r="K18" s="14">
        <f>'Charges d''exploitation'!L16</f>
        <v>500</v>
      </c>
      <c r="L18" s="14">
        <f>'Charges d''exploitation'!M16</f>
        <v>500</v>
      </c>
      <c r="M18" s="14">
        <f>'Charges d''exploitation'!N16</f>
        <v>500</v>
      </c>
      <c r="N18" s="81">
        <f>SUM(B18:M18)</f>
        <v>6000</v>
      </c>
      <c r="O18" s="65">
        <v>0.12</v>
      </c>
      <c r="P18" s="35">
        <f>+N18*O18</f>
        <v>720</v>
      </c>
    </row>
    <row r="19" spans="1:16" x14ac:dyDescent="0.2">
      <c r="A19" s="76" t="s">
        <v>169</v>
      </c>
      <c r="B19" s="78">
        <f t="shared" ref="B19:N19" si="3">SUM(B16:B18)</f>
        <v>1000</v>
      </c>
      <c r="C19" s="78">
        <f t="shared" si="3"/>
        <v>1000</v>
      </c>
      <c r="D19" s="78">
        <f t="shared" si="3"/>
        <v>1000</v>
      </c>
      <c r="E19" s="78">
        <f t="shared" si="3"/>
        <v>1000</v>
      </c>
      <c r="F19" s="78">
        <f t="shared" si="3"/>
        <v>1000</v>
      </c>
      <c r="G19" s="78">
        <f t="shared" si="3"/>
        <v>1000</v>
      </c>
      <c r="H19" s="78">
        <f t="shared" si="3"/>
        <v>1000</v>
      </c>
      <c r="I19" s="78">
        <f t="shared" si="3"/>
        <v>1000</v>
      </c>
      <c r="J19" s="78">
        <f t="shared" si="3"/>
        <v>1000</v>
      </c>
      <c r="K19" s="78">
        <f t="shared" si="3"/>
        <v>1000</v>
      </c>
      <c r="L19" s="78">
        <f t="shared" si="3"/>
        <v>1000</v>
      </c>
      <c r="M19" s="78">
        <f t="shared" si="3"/>
        <v>1000</v>
      </c>
      <c r="N19" s="78">
        <f t="shared" si="3"/>
        <v>12000</v>
      </c>
      <c r="O19" s="78"/>
      <c r="P19" s="78">
        <f>SUM(P16:P18)</f>
        <v>1512</v>
      </c>
    </row>
    <row r="20" spans="1:16" x14ac:dyDescent="0.2">
      <c r="A20" s="82" t="s">
        <v>170</v>
      </c>
      <c r="B20" s="40">
        <f>'Charges d''exploitation'!C18</f>
        <v>378.4375</v>
      </c>
      <c r="C20" s="40">
        <f>'Charges d''exploitation'!D18</f>
        <v>378.4375</v>
      </c>
      <c r="D20" s="40">
        <f>'Charges d''exploitation'!E18</f>
        <v>378.4375</v>
      </c>
      <c r="E20" s="40">
        <f>'Charges d''exploitation'!F18</f>
        <v>378.4375</v>
      </c>
      <c r="F20" s="40">
        <f>'Charges d''exploitation'!G18</f>
        <v>378.4375</v>
      </c>
      <c r="G20" s="40">
        <f>'Charges d''exploitation'!H18</f>
        <v>378.4375</v>
      </c>
      <c r="H20" s="40">
        <f>'Charges d''exploitation'!I18</f>
        <v>378.4375</v>
      </c>
      <c r="I20" s="40">
        <f>'Charges d''exploitation'!J18</f>
        <v>378.4375</v>
      </c>
      <c r="J20" s="40">
        <f>'Charges d''exploitation'!K18</f>
        <v>378.4375</v>
      </c>
      <c r="K20" s="40">
        <f>'Charges d''exploitation'!L18</f>
        <v>378.4375</v>
      </c>
      <c r="L20" s="40">
        <f>'Charges d''exploitation'!M18</f>
        <v>378.4375</v>
      </c>
      <c r="M20" s="40">
        <f>'Charges d''exploitation'!N18</f>
        <v>378.4375</v>
      </c>
      <c r="N20" s="40">
        <f>'Frais IBM WATSON'!M16</f>
        <v>4541.25</v>
      </c>
      <c r="O20" s="34"/>
      <c r="P20" s="34"/>
    </row>
    <row r="21" spans="1:16" ht="28" x14ac:dyDescent="0.2">
      <c r="A21" s="82" t="s">
        <v>171</v>
      </c>
      <c r="B21" s="40">
        <f>'Charges d''exploitation'!C19</f>
        <v>1130.1600000000001</v>
      </c>
      <c r="C21" s="40">
        <f>'Charges d''exploitation'!D19</f>
        <v>1130.1600000000001</v>
      </c>
      <c r="D21" s="40">
        <f>'Charges d''exploitation'!E19</f>
        <v>1130.1600000000001</v>
      </c>
      <c r="E21" s="40">
        <f>'Charges d''exploitation'!F19</f>
        <v>1130.1600000000001</v>
      </c>
      <c r="F21" s="40">
        <f>'Charges d''exploitation'!G19</f>
        <v>1130.1600000000001</v>
      </c>
      <c r="G21" s="40">
        <f>'Charges d''exploitation'!H19</f>
        <v>1130.1600000000001</v>
      </c>
      <c r="H21" s="40">
        <f>'Charges d''exploitation'!I19</f>
        <v>1130.1600000000001</v>
      </c>
      <c r="I21" s="40">
        <f>'Charges d''exploitation'!J19</f>
        <v>1130.1600000000001</v>
      </c>
      <c r="J21" s="40">
        <f>'Charges d''exploitation'!K19</f>
        <v>1130.1600000000001</v>
      </c>
      <c r="K21" s="40">
        <f>'Charges d''exploitation'!L19</f>
        <v>1130.1600000000001</v>
      </c>
      <c r="L21" s="40">
        <f>'Charges d''exploitation'!M19</f>
        <v>1130.1600000000001</v>
      </c>
      <c r="M21" s="40">
        <f>'Charges d''exploitation'!N19</f>
        <v>1130.1600000000001</v>
      </c>
      <c r="N21" s="40">
        <f>'Frais Readspeaker'!C3</f>
        <v>13561.920000000002</v>
      </c>
      <c r="O21" s="34"/>
      <c r="P21" s="34"/>
    </row>
    <row r="22" spans="1:16" x14ac:dyDescent="0.2">
      <c r="A22" s="82" t="s">
        <v>172</v>
      </c>
      <c r="B22" s="40">
        <f>'Charges d''exploitation'!C20</f>
        <v>0</v>
      </c>
      <c r="C22" s="40">
        <f>'Charges d''exploitation'!D20</f>
        <v>0</v>
      </c>
      <c r="D22" s="40">
        <f>'Charges d''exploitation'!E20</f>
        <v>0</v>
      </c>
      <c r="E22" s="40">
        <f>'Charges d''exploitation'!F20</f>
        <v>0</v>
      </c>
      <c r="F22" s="40">
        <f>'Charges d''exploitation'!G20</f>
        <v>0</v>
      </c>
      <c r="G22" s="40">
        <f>'Charges d''exploitation'!H20</f>
        <v>0</v>
      </c>
      <c r="H22" s="40">
        <f>'Charges d''exploitation'!I20</f>
        <v>0</v>
      </c>
      <c r="I22" s="40">
        <f>'Charges d''exploitation'!J20</f>
        <v>0</v>
      </c>
      <c r="J22" s="40">
        <f>'Charges d''exploitation'!K20</f>
        <v>13561.920000000002</v>
      </c>
      <c r="K22" s="40">
        <f>'Charges d''exploitation'!L20</f>
        <v>0</v>
      </c>
      <c r="L22" s="40">
        <f>'Charges d''exploitation'!M20</f>
        <v>0</v>
      </c>
      <c r="M22" s="40">
        <f>'Charges d''exploitation'!N20</f>
        <v>0</v>
      </c>
      <c r="N22" s="40">
        <f t="shared" ref="N22:N30" si="4">SUM(B22:M22)</f>
        <v>13561.920000000002</v>
      </c>
      <c r="O22" s="34"/>
      <c r="P22" s="34"/>
    </row>
    <row r="23" spans="1:16" ht="28" x14ac:dyDescent="0.2">
      <c r="A23" s="82" t="s">
        <v>173</v>
      </c>
      <c r="B23" s="40">
        <f>'Charges d''exploitation'!C21</f>
        <v>400</v>
      </c>
      <c r="C23" s="40">
        <f>'Charges d''exploitation'!D21</f>
        <v>400</v>
      </c>
      <c r="D23" s="40">
        <f>'Charges d''exploitation'!E21</f>
        <v>400</v>
      </c>
      <c r="E23" s="40">
        <f>'Charges d''exploitation'!F21</f>
        <v>400</v>
      </c>
      <c r="F23" s="40">
        <f>'Charges d''exploitation'!G21</f>
        <v>400</v>
      </c>
      <c r="G23" s="40">
        <f>'Charges d''exploitation'!H21</f>
        <v>400</v>
      </c>
      <c r="H23" s="40">
        <f>'Charges d''exploitation'!I21</f>
        <v>400</v>
      </c>
      <c r="I23" s="40">
        <f>'Charges d''exploitation'!J21</f>
        <v>400</v>
      </c>
      <c r="J23" s="40">
        <f>'Charges d''exploitation'!K21</f>
        <v>400</v>
      </c>
      <c r="K23" s="40">
        <f>'Charges d''exploitation'!L21</f>
        <v>400</v>
      </c>
      <c r="L23" s="40">
        <f>'Charges d''exploitation'!M21</f>
        <v>400</v>
      </c>
      <c r="M23" s="40">
        <f>'Charges d''exploitation'!N21</f>
        <v>400</v>
      </c>
      <c r="N23" s="39">
        <f t="shared" si="4"/>
        <v>4800</v>
      </c>
      <c r="O23" s="34"/>
      <c r="P23" s="34"/>
    </row>
    <row r="24" spans="1:16" ht="28" x14ac:dyDescent="0.2">
      <c r="A24" s="82" t="s">
        <v>174</v>
      </c>
      <c r="B24" s="40">
        <f>'Charges d''exploitation'!C22</f>
        <v>150</v>
      </c>
      <c r="C24" s="40">
        <f>'Charges d''exploitation'!D22</f>
        <v>150</v>
      </c>
      <c r="D24" s="40">
        <f>'Charges d''exploitation'!E22</f>
        <v>150</v>
      </c>
      <c r="E24" s="40">
        <f>'Charges d''exploitation'!F22</f>
        <v>150</v>
      </c>
      <c r="F24" s="40">
        <f>'Charges d''exploitation'!G22</f>
        <v>150</v>
      </c>
      <c r="G24" s="40">
        <f>'Charges d''exploitation'!H22</f>
        <v>150</v>
      </c>
      <c r="H24" s="40">
        <f>'Charges d''exploitation'!I22</f>
        <v>150</v>
      </c>
      <c r="I24" s="40">
        <f>'Charges d''exploitation'!J22</f>
        <v>150</v>
      </c>
      <c r="J24" s="40">
        <f>'Charges d''exploitation'!K22</f>
        <v>150</v>
      </c>
      <c r="K24" s="40">
        <f>'Charges d''exploitation'!L22</f>
        <v>150</v>
      </c>
      <c r="L24" s="40">
        <f>'Charges d''exploitation'!M22</f>
        <v>150</v>
      </c>
      <c r="M24" s="40">
        <f>'Charges d''exploitation'!N22</f>
        <v>150</v>
      </c>
      <c r="N24" s="81">
        <f t="shared" si="4"/>
        <v>1800</v>
      </c>
      <c r="O24" s="34"/>
      <c r="P24" s="34"/>
    </row>
    <row r="25" spans="1:16" x14ac:dyDescent="0.2">
      <c r="A25" s="84" t="s">
        <v>175</v>
      </c>
      <c r="B25" s="40">
        <f>'Charges d''exploitation'!C23</f>
        <v>100</v>
      </c>
      <c r="C25" s="40">
        <f>'Charges d''exploitation'!D23</f>
        <v>100</v>
      </c>
      <c r="D25" s="40">
        <f>'Charges d''exploitation'!E23</f>
        <v>100</v>
      </c>
      <c r="E25" s="40">
        <f>'Charges d''exploitation'!F23</f>
        <v>100</v>
      </c>
      <c r="F25" s="40">
        <f>'Charges d''exploitation'!G23</f>
        <v>100</v>
      </c>
      <c r="G25" s="40">
        <f>'Charges d''exploitation'!H23</f>
        <v>100</v>
      </c>
      <c r="H25" s="40">
        <f>'Charges d''exploitation'!I23</f>
        <v>100</v>
      </c>
      <c r="I25" s="40">
        <f>'Charges d''exploitation'!J23</f>
        <v>100</v>
      </c>
      <c r="J25" s="40">
        <f>'Charges d''exploitation'!K23</f>
        <v>100</v>
      </c>
      <c r="K25" s="40">
        <f>'Charges d''exploitation'!L23</f>
        <v>100</v>
      </c>
      <c r="L25" s="40">
        <f>'Charges d''exploitation'!M23</f>
        <v>100</v>
      </c>
      <c r="M25" s="40">
        <f>'Charges d''exploitation'!N23</f>
        <v>100</v>
      </c>
      <c r="N25" s="81">
        <f t="shared" si="4"/>
        <v>1200</v>
      </c>
      <c r="O25" s="34"/>
      <c r="P25" s="34"/>
    </row>
    <row r="26" spans="1:16" ht="16" x14ac:dyDescent="0.2">
      <c r="A26" s="67" t="s">
        <v>176</v>
      </c>
      <c r="B26" s="40">
        <f>'Charges d''exploitation'!C24</f>
        <v>4000</v>
      </c>
      <c r="C26" s="40">
        <f>'Charges d''exploitation'!D24</f>
        <v>4000</v>
      </c>
      <c r="D26" s="40">
        <f>'Charges d''exploitation'!E24</f>
        <v>4000</v>
      </c>
      <c r="E26" s="40">
        <f>'Charges d''exploitation'!F24</f>
        <v>4000</v>
      </c>
      <c r="F26" s="40">
        <f>'Charges d''exploitation'!G24</f>
        <v>4000</v>
      </c>
      <c r="G26" s="40">
        <f>'Charges d''exploitation'!H24</f>
        <v>4000</v>
      </c>
      <c r="H26" s="40">
        <f>'Charges d''exploitation'!I24</f>
        <v>4000</v>
      </c>
      <c r="I26" s="40">
        <f>'Charges d''exploitation'!J24</f>
        <v>4000</v>
      </c>
      <c r="J26" s="40">
        <f>'Charges d''exploitation'!K24</f>
        <v>4000</v>
      </c>
      <c r="K26" s="40">
        <f>'Charges d''exploitation'!L24</f>
        <v>4000</v>
      </c>
      <c r="L26" s="40">
        <f>'Charges d''exploitation'!M24</f>
        <v>4000</v>
      </c>
      <c r="M26" s="40">
        <f>'Charges d''exploitation'!N24</f>
        <v>4000</v>
      </c>
      <c r="N26" s="81">
        <f t="shared" si="4"/>
        <v>48000</v>
      </c>
      <c r="O26" s="65">
        <v>0.12</v>
      </c>
      <c r="P26" s="35">
        <f>+N26*O26</f>
        <v>5760</v>
      </c>
    </row>
    <row r="27" spans="1:16" x14ac:dyDescent="0.2">
      <c r="A27" s="82" t="s">
        <v>177</v>
      </c>
      <c r="B27" s="40">
        <f>'Charges d''exploitation'!C25</f>
        <v>300</v>
      </c>
      <c r="C27" s="40">
        <f>'Charges d''exploitation'!D25</f>
        <v>300</v>
      </c>
      <c r="D27" s="40">
        <f>'Charges d''exploitation'!E25</f>
        <v>300</v>
      </c>
      <c r="E27" s="40">
        <f>'Charges d''exploitation'!F25</f>
        <v>300</v>
      </c>
      <c r="F27" s="40">
        <f>'Charges d''exploitation'!G25</f>
        <v>300</v>
      </c>
      <c r="G27" s="40">
        <f>'Charges d''exploitation'!H25</f>
        <v>300</v>
      </c>
      <c r="H27" s="40">
        <f>'Charges d''exploitation'!I25</f>
        <v>300</v>
      </c>
      <c r="I27" s="40">
        <f>'Charges d''exploitation'!J25</f>
        <v>300</v>
      </c>
      <c r="J27" s="40">
        <f>'Charges d''exploitation'!K25</f>
        <v>300</v>
      </c>
      <c r="K27" s="40">
        <f>'Charges d''exploitation'!L25</f>
        <v>300</v>
      </c>
      <c r="L27" s="40">
        <f>'Charges d''exploitation'!M25</f>
        <v>300</v>
      </c>
      <c r="M27" s="40">
        <f>'Charges d''exploitation'!N25</f>
        <v>300</v>
      </c>
      <c r="N27" s="81">
        <f t="shared" si="4"/>
        <v>3600</v>
      </c>
      <c r="O27" s="65"/>
      <c r="P27" s="35"/>
    </row>
    <row r="28" spans="1:16" ht="16" x14ac:dyDescent="0.2">
      <c r="A28" s="67" t="s">
        <v>178</v>
      </c>
      <c r="B28" s="40">
        <f>'Charges d''exploitation'!C26</f>
        <v>700</v>
      </c>
      <c r="C28" s="40">
        <f>'Charges d''exploitation'!D26</f>
        <v>700</v>
      </c>
      <c r="D28" s="40">
        <f>'Charges d''exploitation'!E26</f>
        <v>700</v>
      </c>
      <c r="E28" s="40">
        <f>'Charges d''exploitation'!F26</f>
        <v>700</v>
      </c>
      <c r="F28" s="40">
        <f>'Charges d''exploitation'!G26</f>
        <v>700</v>
      </c>
      <c r="G28" s="40">
        <f>'Charges d''exploitation'!H26</f>
        <v>700</v>
      </c>
      <c r="H28" s="40">
        <f>'Charges d''exploitation'!I26</f>
        <v>700</v>
      </c>
      <c r="I28" s="40">
        <f>'Charges d''exploitation'!J26</f>
        <v>700</v>
      </c>
      <c r="J28" s="40">
        <f>'Charges d''exploitation'!K26</f>
        <v>700</v>
      </c>
      <c r="K28" s="40">
        <f>'Charges d''exploitation'!L26</f>
        <v>700</v>
      </c>
      <c r="L28" s="40">
        <f>'Charges d''exploitation'!M26</f>
        <v>700</v>
      </c>
      <c r="M28" s="40">
        <f>'Charges d''exploitation'!N26</f>
        <v>700</v>
      </c>
      <c r="N28" s="81">
        <f t="shared" si="4"/>
        <v>8400</v>
      </c>
      <c r="O28" s="65">
        <v>0.18</v>
      </c>
      <c r="P28" s="35">
        <f>+N28*O28</f>
        <v>1512</v>
      </c>
    </row>
    <row r="29" spans="1:16" x14ac:dyDescent="0.2">
      <c r="A29" s="82" t="s">
        <v>179</v>
      </c>
      <c r="B29" s="40">
        <f>'Charges d''exploitation'!C27</f>
        <v>15000</v>
      </c>
      <c r="C29" s="40">
        <f>'Charges d''exploitation'!D27</f>
        <v>0</v>
      </c>
      <c r="D29" s="40">
        <f>'Charges d''exploitation'!E27</f>
        <v>0</v>
      </c>
      <c r="E29" s="40">
        <f>'Charges d''exploitation'!F27</f>
        <v>0</v>
      </c>
      <c r="F29" s="40">
        <f>'Charges d''exploitation'!G27</f>
        <v>0</v>
      </c>
      <c r="G29" s="40">
        <f>'Charges d''exploitation'!H27</f>
        <v>0</v>
      </c>
      <c r="H29" s="40">
        <f>'Charges d''exploitation'!I27</f>
        <v>0</v>
      </c>
      <c r="I29" s="40">
        <f>'Charges d''exploitation'!J27</f>
        <v>0</v>
      </c>
      <c r="J29" s="40">
        <f>'Charges d''exploitation'!K27</f>
        <v>0</v>
      </c>
      <c r="K29" s="40">
        <f>'Charges d''exploitation'!L27</f>
        <v>0</v>
      </c>
      <c r="L29" s="40">
        <f>'Charges d''exploitation'!M27</f>
        <v>0</v>
      </c>
      <c r="M29" s="40">
        <f>'Charges d''exploitation'!N27</f>
        <v>0</v>
      </c>
      <c r="N29" s="81">
        <f t="shared" si="4"/>
        <v>15000</v>
      </c>
      <c r="O29" s="65">
        <v>0.18</v>
      </c>
      <c r="P29" s="35">
        <f>+N29*O29</f>
        <v>2700</v>
      </c>
    </row>
    <row r="30" spans="1:16" x14ac:dyDescent="0.2">
      <c r="A30" s="82" t="s">
        <v>180</v>
      </c>
      <c r="B30" s="40">
        <f>'Charges d''exploitation'!C28</f>
        <v>0</v>
      </c>
      <c r="C30" s="40">
        <f>'Charges d''exploitation'!D28</f>
        <v>0</v>
      </c>
      <c r="D30" s="40">
        <f>'Charges d''exploitation'!E28</f>
        <v>23550</v>
      </c>
      <c r="E30" s="40">
        <f>'Charges d''exploitation'!F28</f>
        <v>0</v>
      </c>
      <c r="F30" s="40">
        <f>'Charges d''exploitation'!G28</f>
        <v>0</v>
      </c>
      <c r="G30" s="40">
        <f>'Charges d''exploitation'!H28</f>
        <v>4350</v>
      </c>
      <c r="H30" s="40">
        <f>'Charges d''exploitation'!I28</f>
        <v>0</v>
      </c>
      <c r="I30" s="40">
        <f>'Charges d''exploitation'!J28</f>
        <v>0</v>
      </c>
      <c r="J30" s="40">
        <f>'Charges d''exploitation'!K28</f>
        <v>3550</v>
      </c>
      <c r="K30" s="40">
        <f>'Charges d''exploitation'!L28</f>
        <v>0</v>
      </c>
      <c r="L30" s="40">
        <f>'Charges d''exploitation'!M28</f>
        <v>0</v>
      </c>
      <c r="M30" s="40">
        <f>'Charges d''exploitation'!N28</f>
        <v>9350</v>
      </c>
      <c r="N30" s="81">
        <f t="shared" si="4"/>
        <v>40800</v>
      </c>
      <c r="O30" s="65">
        <v>0.12</v>
      </c>
      <c r="P30" s="35">
        <f>+N30*O30</f>
        <v>4896</v>
      </c>
    </row>
    <row r="31" spans="1:16" x14ac:dyDescent="0.2">
      <c r="A31" s="76" t="s">
        <v>181</v>
      </c>
      <c r="B31" s="77">
        <f t="shared" ref="B31:N31" si="5">SUM(B20:B30)</f>
        <v>22158.5975</v>
      </c>
      <c r="C31" s="77">
        <f t="shared" si="5"/>
        <v>7158.5974999999999</v>
      </c>
      <c r="D31" s="77">
        <f t="shared" si="5"/>
        <v>30708.5975</v>
      </c>
      <c r="E31" s="77">
        <f t="shared" si="5"/>
        <v>7158.5974999999999</v>
      </c>
      <c r="F31" s="77">
        <f t="shared" si="5"/>
        <v>7158.5974999999999</v>
      </c>
      <c r="G31" s="77">
        <f t="shared" si="5"/>
        <v>11508.5975</v>
      </c>
      <c r="H31" s="77">
        <f t="shared" si="5"/>
        <v>7158.5974999999999</v>
      </c>
      <c r="I31" s="77">
        <f t="shared" si="5"/>
        <v>7158.5974999999999</v>
      </c>
      <c r="J31" s="77">
        <f t="shared" si="5"/>
        <v>24270.517500000002</v>
      </c>
      <c r="K31" s="77">
        <f t="shared" si="5"/>
        <v>7158.5974999999999</v>
      </c>
      <c r="L31" s="77">
        <f t="shared" si="5"/>
        <v>7158.5974999999999</v>
      </c>
      <c r="M31" s="77">
        <f t="shared" si="5"/>
        <v>16508.5975</v>
      </c>
      <c r="N31" s="77">
        <f t="shared" si="5"/>
        <v>155265.09</v>
      </c>
      <c r="O31" s="65"/>
      <c r="P31" s="78">
        <f>SUM(P26:P30)</f>
        <v>14868</v>
      </c>
    </row>
    <row r="32" spans="1:16" ht="28" x14ac:dyDescent="0.2">
      <c r="A32" s="88" t="s">
        <v>183</v>
      </c>
      <c r="B32" s="89">
        <f t="shared" ref="B32:N32" si="6">B19+B31</f>
        <v>23158.5975</v>
      </c>
      <c r="C32" s="89">
        <f t="shared" si="6"/>
        <v>8158.5974999999999</v>
      </c>
      <c r="D32" s="89">
        <f t="shared" si="6"/>
        <v>31708.5975</v>
      </c>
      <c r="E32" s="89">
        <f t="shared" si="6"/>
        <v>8158.5974999999999</v>
      </c>
      <c r="F32" s="89">
        <f t="shared" si="6"/>
        <v>8158.5974999999999</v>
      </c>
      <c r="G32" s="89">
        <f t="shared" si="6"/>
        <v>12508.5975</v>
      </c>
      <c r="H32" s="89">
        <f t="shared" si="6"/>
        <v>8158.5974999999999</v>
      </c>
      <c r="I32" s="89">
        <f t="shared" si="6"/>
        <v>8158.5974999999999</v>
      </c>
      <c r="J32" s="89">
        <f t="shared" si="6"/>
        <v>25270.517500000002</v>
      </c>
      <c r="K32" s="89">
        <f t="shared" si="6"/>
        <v>8158.5974999999999</v>
      </c>
      <c r="L32" s="89">
        <f t="shared" si="6"/>
        <v>8158.5974999999999</v>
      </c>
      <c r="M32" s="89">
        <f t="shared" si="6"/>
        <v>17508.5975</v>
      </c>
      <c r="N32" s="89">
        <f t="shared" si="6"/>
        <v>167265.09</v>
      </c>
      <c r="O32" s="69"/>
      <c r="P32" s="35"/>
    </row>
    <row r="33" spans="1:16" ht="28" x14ac:dyDescent="0.2">
      <c r="A33" s="76" t="s">
        <v>216</v>
      </c>
      <c r="B33" s="77">
        <f t="shared" ref="B33:M33" si="7">$N$33/12</f>
        <v>25857.692307692309</v>
      </c>
      <c r="C33" s="77">
        <f t="shared" si="7"/>
        <v>25857.692307692309</v>
      </c>
      <c r="D33" s="77">
        <f t="shared" si="7"/>
        <v>25857.692307692309</v>
      </c>
      <c r="E33" s="77">
        <f t="shared" si="7"/>
        <v>25857.692307692309</v>
      </c>
      <c r="F33" s="77">
        <f t="shared" si="7"/>
        <v>25857.692307692309</v>
      </c>
      <c r="G33" s="77">
        <f t="shared" si="7"/>
        <v>25857.692307692309</v>
      </c>
      <c r="H33" s="77">
        <f t="shared" si="7"/>
        <v>25857.692307692309</v>
      </c>
      <c r="I33" s="77">
        <f t="shared" si="7"/>
        <v>25857.692307692309</v>
      </c>
      <c r="J33" s="77">
        <f t="shared" si="7"/>
        <v>25857.692307692309</v>
      </c>
      <c r="K33" s="77">
        <f t="shared" si="7"/>
        <v>25857.692307692309</v>
      </c>
      <c r="L33" s="77">
        <f t="shared" si="7"/>
        <v>25857.692307692309</v>
      </c>
      <c r="M33" s="77">
        <f t="shared" si="7"/>
        <v>25857.692307692309</v>
      </c>
      <c r="N33" s="77">
        <f>'Budget RH en nombre TTC'!C50</f>
        <v>310292.30769230769</v>
      </c>
      <c r="O33" s="65"/>
      <c r="P33" s="87"/>
    </row>
    <row r="34" spans="1:16" x14ac:dyDescent="0.2">
      <c r="A34" s="76" t="s">
        <v>134</v>
      </c>
      <c r="B34" s="78"/>
      <c r="C34" s="78"/>
      <c r="D34" s="78"/>
      <c r="E34" s="77">
        <f>'Budget RH en nombre TTC'!C52</f>
        <v>23271.923076923078</v>
      </c>
      <c r="F34" s="78"/>
      <c r="G34" s="78"/>
      <c r="H34" s="77">
        <f>'Budget RH en nombre TTC'!C52</f>
        <v>23271.923076923078</v>
      </c>
      <c r="I34" s="78"/>
      <c r="J34" s="78"/>
      <c r="K34" s="77">
        <f>'Budget RH en nombre TTC'!C52</f>
        <v>23271.923076923078</v>
      </c>
      <c r="L34" s="78"/>
      <c r="M34" s="78"/>
      <c r="N34" s="78"/>
      <c r="O34" s="65"/>
      <c r="P34" s="87"/>
    </row>
    <row r="35" spans="1:16" x14ac:dyDescent="0.2">
      <c r="A35" s="76" t="s">
        <v>217</v>
      </c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65"/>
      <c r="P35" s="87"/>
    </row>
    <row r="36" spans="1:16" x14ac:dyDescent="0.2">
      <c r="A36" s="76" t="s">
        <v>218</v>
      </c>
      <c r="B36" s="78"/>
      <c r="C36" s="78"/>
      <c r="D36" s="78"/>
      <c r="E36" s="78"/>
      <c r="F36" s="77">
        <f t="shared" ref="F36:M36" si="8">$N$36/9</f>
        <v>7681.4214430400007</v>
      </c>
      <c r="G36" s="77">
        <f t="shared" si="8"/>
        <v>7681.4214430400007</v>
      </c>
      <c r="H36" s="77">
        <f t="shared" si="8"/>
        <v>7681.4214430400007</v>
      </c>
      <c r="I36" s="77">
        <f t="shared" si="8"/>
        <v>7681.4214430400007</v>
      </c>
      <c r="J36" s="77">
        <f t="shared" si="8"/>
        <v>7681.4214430400007</v>
      </c>
      <c r="K36" s="77">
        <f t="shared" si="8"/>
        <v>7681.4214430400007</v>
      </c>
      <c r="L36" s="77">
        <f t="shared" si="8"/>
        <v>7681.4214430400007</v>
      </c>
      <c r="M36" s="77">
        <f t="shared" si="8"/>
        <v>7681.4214430400007</v>
      </c>
      <c r="N36" s="77">
        <f>'Calcul de TVA à payer'!B35</f>
        <v>69132.792987360008</v>
      </c>
      <c r="O36" s="65"/>
      <c r="P36" s="87"/>
    </row>
    <row r="37" spans="1:16" x14ac:dyDescent="0.2">
      <c r="A37" s="88" t="s">
        <v>219</v>
      </c>
      <c r="B37" s="89">
        <f t="shared" ref="B37:N37" si="9">B13-B32-B33-B34-B35-B36</f>
        <v>-36289.637759692312</v>
      </c>
      <c r="C37" s="89">
        <f t="shared" si="9"/>
        <v>-7782.9857116923085</v>
      </c>
      <c r="D37" s="89">
        <f t="shared" si="9"/>
        <v>-18216.333663692305</v>
      </c>
      <c r="E37" s="89">
        <f t="shared" si="9"/>
        <v>8295.0473553846132</v>
      </c>
      <c r="F37" s="89">
        <f t="shared" si="9"/>
        <v>50118.853085267692</v>
      </c>
      <c r="G37" s="89">
        <f t="shared" si="9"/>
        <v>65443.83115726769</v>
      </c>
      <c r="H37" s="89">
        <f t="shared" si="9"/>
        <v>66196.88615234461</v>
      </c>
      <c r="I37" s="89">
        <f t="shared" si="9"/>
        <v>89468.809229267688</v>
      </c>
      <c r="J37" s="89">
        <f t="shared" si="9"/>
        <v>92699.769229267695</v>
      </c>
      <c r="K37" s="89">
        <f t="shared" si="9"/>
        <v>66196.88615234461</v>
      </c>
      <c r="L37" s="89">
        <f t="shared" si="9"/>
        <v>89468.809229267688</v>
      </c>
      <c r="M37" s="89">
        <f t="shared" si="9"/>
        <v>100461.68922926769</v>
      </c>
      <c r="N37" s="89">
        <f t="shared" si="9"/>
        <v>628195.97147233237</v>
      </c>
      <c r="O37" s="69"/>
      <c r="P37" s="35"/>
    </row>
    <row r="38" spans="1:16" x14ac:dyDescent="0.2">
      <c r="A38" s="88" t="s">
        <v>220</v>
      </c>
      <c r="B38" s="89">
        <f>B37</f>
        <v>-36289.637759692312</v>
      </c>
      <c r="C38" s="89">
        <f t="shared" ref="C38:M38" si="10">C37+B38</f>
        <v>-44072.623471384621</v>
      </c>
      <c r="D38" s="89">
        <f t="shared" si="10"/>
        <v>-62288.957135076926</v>
      </c>
      <c r="E38" s="89">
        <f t="shared" si="10"/>
        <v>-53993.909779692316</v>
      </c>
      <c r="F38" s="89">
        <f t="shared" si="10"/>
        <v>-3875.0566944246239</v>
      </c>
      <c r="G38" s="89">
        <f t="shared" si="10"/>
        <v>61568.774462843066</v>
      </c>
      <c r="H38" s="89">
        <f t="shared" si="10"/>
        <v>127765.66061518768</v>
      </c>
      <c r="I38" s="89">
        <f t="shared" si="10"/>
        <v>217234.46984445537</v>
      </c>
      <c r="J38" s="89">
        <f t="shared" si="10"/>
        <v>309934.23907372309</v>
      </c>
      <c r="K38" s="89">
        <f t="shared" si="10"/>
        <v>376131.12522606773</v>
      </c>
      <c r="L38" s="89">
        <f t="shared" si="10"/>
        <v>465599.93445533543</v>
      </c>
      <c r="M38" s="89">
        <f t="shared" si="10"/>
        <v>566061.62368460314</v>
      </c>
      <c r="N38" s="89"/>
      <c r="O38" s="69"/>
      <c r="P38" s="35"/>
    </row>
    <row r="39" spans="1:16" ht="16" x14ac:dyDescent="0.2">
      <c r="A39" s="113" t="s">
        <v>221</v>
      </c>
      <c r="B39" s="114">
        <f>N13-B2-N32-N33-N34-N35-N36</f>
        <v>-34354.028527667659</v>
      </c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64"/>
      <c r="O39" s="65"/>
      <c r="P39" s="35"/>
    </row>
  </sheetData>
  <mergeCells count="3">
    <mergeCell ref="A1:K1"/>
    <mergeCell ref="A4:N4"/>
    <mergeCell ref="A14:N1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52"/>
  <sheetViews>
    <sheetView zoomScaleNormal="100" workbookViewId="0">
      <selection activeCell="N6" sqref="N6"/>
    </sheetView>
  </sheetViews>
  <sheetFormatPr baseColWidth="10" defaultColWidth="8.83203125" defaultRowHeight="15" x14ac:dyDescent="0.2"/>
  <cols>
    <col min="1" max="1" width="40.6640625" customWidth="1"/>
    <col min="2" max="8" width="9.1640625" style="1" customWidth="1"/>
    <col min="9" max="9" width="9.5" style="1" customWidth="1"/>
    <col min="10" max="10" width="9.1640625" style="1" customWidth="1"/>
    <col min="11" max="11" width="8.5" style="1" customWidth="1"/>
    <col min="12" max="12" width="15.33203125" style="1" customWidth="1"/>
    <col min="13" max="13" width="20" customWidth="1"/>
    <col min="14" max="14" width="18.1640625" style="1" customWidth="1"/>
    <col min="15" max="1025" width="9.1640625" customWidth="1"/>
  </cols>
  <sheetData>
    <row r="1" spans="1:14" x14ac:dyDescent="0.2">
      <c r="A1" s="218" t="s">
        <v>0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</row>
    <row r="2" spans="1:14" s="4" customFormat="1" ht="28.5" customHeight="1" x14ac:dyDescent="0.2">
      <c r="A2" s="216" t="s">
        <v>1</v>
      </c>
      <c r="B2" s="216" t="s">
        <v>2</v>
      </c>
      <c r="C2" s="216"/>
      <c r="D2" s="216" t="s">
        <v>3</v>
      </c>
      <c r="E2" s="216"/>
      <c r="F2" s="216" t="s">
        <v>4</v>
      </c>
      <c r="G2" s="216"/>
      <c r="H2" s="216" t="s">
        <v>5</v>
      </c>
      <c r="I2" s="216"/>
      <c r="J2" s="216" t="s">
        <v>6</v>
      </c>
      <c r="K2" s="216"/>
      <c r="L2" s="4" t="s">
        <v>8</v>
      </c>
      <c r="M2" s="4" t="s">
        <v>9</v>
      </c>
      <c r="N2" s="4" t="s">
        <v>10</v>
      </c>
    </row>
    <row r="3" spans="1:14" ht="16" x14ac:dyDescent="0.2">
      <c r="A3" s="216"/>
      <c r="B3" s="4" t="s">
        <v>41</v>
      </c>
      <c r="C3" s="4" t="s">
        <v>57</v>
      </c>
      <c r="D3" s="4" t="s">
        <v>41</v>
      </c>
      <c r="E3" s="4" t="s">
        <v>57</v>
      </c>
      <c r="F3" s="4" t="s">
        <v>41</v>
      </c>
      <c r="G3" s="4" t="s">
        <v>57</v>
      </c>
      <c r="H3" s="4" t="s">
        <v>41</v>
      </c>
      <c r="I3" s="4" t="s">
        <v>57</v>
      </c>
      <c r="J3" s="4" t="s">
        <v>41</v>
      </c>
      <c r="K3" s="4" t="s">
        <v>57</v>
      </c>
    </row>
    <row r="4" spans="1:14" x14ac:dyDescent="0.2">
      <c r="A4" s="8" t="s">
        <v>11</v>
      </c>
      <c r="B4" s="1">
        <f>'Evolution RH en nombre'!B3</f>
        <v>1</v>
      </c>
      <c r="C4" s="1">
        <f>B4*N4*12</f>
        <v>64800</v>
      </c>
      <c r="D4" s="1">
        <f>'Evolution RH en nombre'!C3+'Evolution RH en nombre'!B3</f>
        <v>1</v>
      </c>
      <c r="E4" s="1">
        <f>D4*N4*12</f>
        <v>64800</v>
      </c>
      <c r="F4" s="1">
        <f>'Evolution RH en nombre'!D3+'Evolution RH en nombre'!C3+'Evolution RH en nombre'!B3</f>
        <v>1</v>
      </c>
      <c r="G4" s="1">
        <f>F4*N4*12</f>
        <v>64800</v>
      </c>
      <c r="H4" s="1">
        <f>'Evolution RH en nombre'!E3+'Evolution RH en nombre'!D3+'Evolution RH en nombre'!C3+'Evolution RH en nombre'!B3</f>
        <v>1</v>
      </c>
      <c r="I4" s="1">
        <f>H4*N4*12</f>
        <v>64800</v>
      </c>
      <c r="J4" s="1">
        <f>'Evolution RH en nombre'!F3+'Evolution RH en nombre'!E3+'Evolution RH en nombre'!D3+'Evolution RH en nombre'!C3+'Evolution RH en nombre'!B3</f>
        <v>1</v>
      </c>
      <c r="K4" s="1">
        <f>J4*N4*12</f>
        <v>64800</v>
      </c>
      <c r="M4" s="1">
        <f>'Evolution RH en nombre'!I3</f>
        <v>4000</v>
      </c>
      <c r="N4" s="1">
        <f>'Evolution RH en nombre'!J3</f>
        <v>5400</v>
      </c>
    </row>
    <row r="5" spans="1:14" x14ac:dyDescent="0.2">
      <c r="A5" s="8" t="s">
        <v>12</v>
      </c>
      <c r="B5" s="1">
        <f>'Evolution RH en nombre'!B4</f>
        <v>1</v>
      </c>
      <c r="C5" s="1">
        <f>B5*N5*12</f>
        <v>12960</v>
      </c>
      <c r="D5" s="1">
        <f>'Evolution RH en nombre'!C4+'Evolution RH en nombre'!B4</f>
        <v>1</v>
      </c>
      <c r="E5" s="1">
        <f>D5*N5*12</f>
        <v>12960</v>
      </c>
      <c r="F5" s="1">
        <f>'Evolution RH en nombre'!D4+'Evolution RH en nombre'!C4+'Evolution RH en nombre'!B4</f>
        <v>1</v>
      </c>
      <c r="G5" s="1">
        <f>F5*N5*12</f>
        <v>12960</v>
      </c>
      <c r="H5" s="1">
        <f>'Evolution RH en nombre'!E4+'Evolution RH en nombre'!D4+'Evolution RH en nombre'!C4+'Evolution RH en nombre'!B4</f>
        <v>1</v>
      </c>
      <c r="I5" s="1">
        <f>H5*N5*12</f>
        <v>12960</v>
      </c>
      <c r="J5" s="1">
        <f>'Evolution RH en nombre'!F4+'Evolution RH en nombre'!E4+'Evolution RH en nombre'!D4+'Evolution RH en nombre'!C4+'Evolution RH en nombre'!B4</f>
        <v>1</v>
      </c>
      <c r="K5" s="1">
        <f>J5*N5*12</f>
        <v>12960</v>
      </c>
      <c r="M5" s="1">
        <f>'Evolution RH en nombre'!I4</f>
        <v>800</v>
      </c>
      <c r="N5" s="1">
        <f>'Evolution RH en nombre'!J4</f>
        <v>1080</v>
      </c>
    </row>
    <row r="6" spans="1:14" x14ac:dyDescent="0.2">
      <c r="A6" s="8" t="s">
        <v>13</v>
      </c>
      <c r="B6" s="1">
        <f>'Evolution RH en nombre'!B5</f>
        <v>0</v>
      </c>
      <c r="C6" s="1">
        <f>B6*N6*12</f>
        <v>0</v>
      </c>
      <c r="D6" s="1">
        <f>'Evolution RH en nombre'!C5+'Evolution RH en nombre'!B5</f>
        <v>0</v>
      </c>
      <c r="E6" s="1">
        <f>D6*N6*12</f>
        <v>0</v>
      </c>
      <c r="F6" s="1">
        <f>'Evolution RH en nombre'!D5+'Evolution RH en nombre'!C5+'Evolution RH en nombre'!B5</f>
        <v>1</v>
      </c>
      <c r="G6" s="1">
        <f>F6*N6*12</f>
        <v>48600.000000000007</v>
      </c>
      <c r="H6" s="1">
        <f>'Evolution RH en nombre'!E5+'Evolution RH en nombre'!D5+'Evolution RH en nombre'!C5+'Evolution RH en nombre'!B5</f>
        <v>1</v>
      </c>
      <c r="I6" s="1">
        <f>H6*N6*12</f>
        <v>48600.000000000007</v>
      </c>
      <c r="J6" s="1">
        <f>'Evolution RH en nombre'!F5+'Evolution RH en nombre'!E5+'Evolution RH en nombre'!D5+'Evolution RH en nombre'!C5+'Evolution RH en nombre'!B5</f>
        <v>1</v>
      </c>
      <c r="K6" s="1">
        <f>J6*N6*12</f>
        <v>48600.000000000007</v>
      </c>
      <c r="M6" s="1">
        <f>'Evolution RH en nombre'!I5</f>
        <v>3000</v>
      </c>
      <c r="N6" s="1">
        <f>'Evolution RH en nombre'!J5</f>
        <v>4050.0000000000005</v>
      </c>
    </row>
    <row r="7" spans="1:14" x14ac:dyDescent="0.2">
      <c r="A7" s="8" t="s">
        <v>14</v>
      </c>
      <c r="B7" s="1">
        <f>'Evolution RH en nombre'!B6</f>
        <v>1</v>
      </c>
      <c r="C7" s="1">
        <f>B7*N7*12</f>
        <v>27540</v>
      </c>
      <c r="D7" s="1">
        <f>'Evolution RH en nombre'!C6+'Evolution RH en nombre'!B6</f>
        <v>1</v>
      </c>
      <c r="E7" s="1">
        <f>D7*N7*12</f>
        <v>27540</v>
      </c>
      <c r="F7" s="1">
        <f>'Evolution RH en nombre'!D6+'Evolution RH en nombre'!C6+'Evolution RH en nombre'!B6</f>
        <v>1</v>
      </c>
      <c r="G7" s="1">
        <f>F7*N7*12</f>
        <v>27540</v>
      </c>
      <c r="H7" s="1">
        <f>'Evolution RH en nombre'!E6+'Evolution RH en nombre'!D6+'Evolution RH en nombre'!C6+'Evolution RH en nombre'!B6</f>
        <v>1</v>
      </c>
      <c r="I7" s="1">
        <f>H7*N7*12</f>
        <v>27540</v>
      </c>
      <c r="J7" s="1">
        <f>'Evolution RH en nombre'!F6+'Evolution RH en nombre'!E6+'Evolution RH en nombre'!D6+'Evolution RH en nombre'!C6+'Evolution RH en nombre'!B6</f>
        <v>1</v>
      </c>
      <c r="K7" s="1">
        <f>J7*N7*12</f>
        <v>27540</v>
      </c>
      <c r="M7" s="1">
        <f>'Evolution RH en nombre'!I6</f>
        <v>1700</v>
      </c>
      <c r="N7" s="1">
        <f>'Evolution RH en nombre'!J6</f>
        <v>2295</v>
      </c>
    </row>
    <row r="8" spans="1:14" x14ac:dyDescent="0.2">
      <c r="A8" s="31" t="s">
        <v>15</v>
      </c>
      <c r="B8" s="21">
        <f t="shared" ref="B8:K8" si="0">SUM(B4:B7)</f>
        <v>3</v>
      </c>
      <c r="C8" s="21">
        <f t="shared" si="0"/>
        <v>105300</v>
      </c>
      <c r="D8" s="21">
        <f t="shared" si="0"/>
        <v>3</v>
      </c>
      <c r="E8" s="21">
        <f t="shared" si="0"/>
        <v>105300</v>
      </c>
      <c r="F8" s="21">
        <f t="shared" si="0"/>
        <v>4</v>
      </c>
      <c r="G8" s="21">
        <f t="shared" si="0"/>
        <v>153900</v>
      </c>
      <c r="H8" s="21">
        <f t="shared" si="0"/>
        <v>4</v>
      </c>
      <c r="I8" s="21">
        <f t="shared" si="0"/>
        <v>153900</v>
      </c>
      <c r="J8" s="21">
        <f t="shared" si="0"/>
        <v>4</v>
      </c>
      <c r="K8" s="21">
        <f t="shared" si="0"/>
        <v>153900</v>
      </c>
      <c r="L8" s="21"/>
      <c r="M8" s="21"/>
      <c r="N8" s="21"/>
    </row>
    <row r="9" spans="1:14" x14ac:dyDescent="0.2">
      <c r="A9" s="8"/>
    </row>
    <row r="10" spans="1:14" x14ac:dyDescent="0.2">
      <c r="A10" s="31" t="s">
        <v>16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</row>
    <row r="11" spans="1:14" s="4" customFormat="1" ht="27.75" customHeight="1" x14ac:dyDescent="0.2">
      <c r="A11" s="216" t="s">
        <v>1</v>
      </c>
      <c r="B11" s="216" t="s">
        <v>2</v>
      </c>
      <c r="C11" s="216"/>
      <c r="D11" s="216" t="s">
        <v>3</v>
      </c>
      <c r="E11" s="216"/>
      <c r="F11" s="216" t="s">
        <v>4</v>
      </c>
      <c r="G11" s="216"/>
      <c r="H11" s="216" t="s">
        <v>5</v>
      </c>
      <c r="I11" s="216"/>
      <c r="J11" s="216" t="s">
        <v>6</v>
      </c>
      <c r="K11" s="216"/>
      <c r="L11" s="4" t="s">
        <v>8</v>
      </c>
      <c r="M11" s="4" t="s">
        <v>9</v>
      </c>
      <c r="N11" s="4" t="s">
        <v>10</v>
      </c>
    </row>
    <row r="12" spans="1:14" ht="16" x14ac:dyDescent="0.2">
      <c r="A12" s="216"/>
      <c r="B12" s="4" t="s">
        <v>41</v>
      </c>
      <c r="C12" s="4" t="s">
        <v>57</v>
      </c>
      <c r="D12" s="4" t="s">
        <v>41</v>
      </c>
      <c r="E12" s="4" t="s">
        <v>57</v>
      </c>
      <c r="F12" s="4" t="s">
        <v>41</v>
      </c>
      <c r="G12" s="4" t="s">
        <v>57</v>
      </c>
      <c r="H12" s="4" t="s">
        <v>41</v>
      </c>
      <c r="I12" s="4" t="s">
        <v>57</v>
      </c>
      <c r="J12" s="4" t="s">
        <v>41</v>
      </c>
      <c r="K12" s="4" t="s">
        <v>57</v>
      </c>
    </row>
    <row r="13" spans="1:14" x14ac:dyDescent="0.2">
      <c r="A13" s="8" t="s">
        <v>17</v>
      </c>
      <c r="B13" s="1">
        <f>'Evolution RH en nombre'!B11</f>
        <v>1</v>
      </c>
      <c r="C13" s="1">
        <f t="shared" ref="C13:C24" si="1">B13*N13*12</f>
        <v>27540</v>
      </c>
      <c r="D13" s="23">
        <f>'Evolution RH en nombre'!C11+'Evolution RH en nombre'!B11</f>
        <v>1</v>
      </c>
      <c r="E13" s="1">
        <f t="shared" ref="E13:E24" si="2">D13*N13*12</f>
        <v>27540</v>
      </c>
      <c r="F13" s="23">
        <f>'Evolution RH en nombre'!D11+'Evolution RH en nombre'!C11+'Evolution RH en nombre'!B11</f>
        <v>1</v>
      </c>
      <c r="G13" s="1">
        <f t="shared" ref="G13:G24" si="3">F13*N13*12</f>
        <v>27540</v>
      </c>
      <c r="H13" s="23">
        <f>'Evolution RH en nombre'!E11+'Evolution RH en nombre'!D11+'Evolution RH en nombre'!C11+'Evolution RH en nombre'!B11</f>
        <v>1</v>
      </c>
      <c r="I13" s="1">
        <f t="shared" ref="I13:I24" si="4">H13*N13*12</f>
        <v>27540</v>
      </c>
      <c r="J13" s="23">
        <f>'Evolution RH en nombre'!F11+'Evolution RH en nombre'!E11+'Evolution RH en nombre'!D11+'Evolution RH en nombre'!C11+'Evolution RH en nombre'!B11</f>
        <v>1</v>
      </c>
      <c r="K13" s="1">
        <f t="shared" ref="K13:K24" si="5">J13*N13*12</f>
        <v>27540</v>
      </c>
      <c r="M13" s="1">
        <f>'Evolution RH en nombre'!I11</f>
        <v>1700</v>
      </c>
      <c r="N13" s="1">
        <f>'Evolution RH en nombre'!J11</f>
        <v>2295</v>
      </c>
    </row>
    <row r="14" spans="1:14" x14ac:dyDescent="0.2">
      <c r="A14" s="8" t="s">
        <v>18</v>
      </c>
      <c r="B14" s="1">
        <f>'Evolution RH en nombre'!B12</f>
        <v>0</v>
      </c>
      <c r="C14" s="1">
        <f t="shared" si="1"/>
        <v>0</v>
      </c>
      <c r="D14" s="23">
        <f>'Evolution RH en nombre'!C12+'Evolution RH en nombre'!B12</f>
        <v>0</v>
      </c>
      <c r="E14" s="1">
        <f t="shared" si="2"/>
        <v>0</v>
      </c>
      <c r="F14" s="23">
        <f>'Evolution RH en nombre'!D12+'Evolution RH en nombre'!C12+'Evolution RH en nombre'!B12</f>
        <v>1</v>
      </c>
      <c r="G14" s="1">
        <f t="shared" si="3"/>
        <v>21060.000000000004</v>
      </c>
      <c r="H14" s="23">
        <f>'Evolution RH en nombre'!E12+'Evolution RH en nombre'!D12+'Evolution RH en nombre'!C12+'Evolution RH en nombre'!B12</f>
        <v>1</v>
      </c>
      <c r="I14" s="1">
        <f t="shared" si="4"/>
        <v>21060.000000000004</v>
      </c>
      <c r="J14" s="23">
        <f>'Evolution RH en nombre'!F12+'Evolution RH en nombre'!E12+'Evolution RH en nombre'!D12+'Evolution RH en nombre'!C12+'Evolution RH en nombre'!B12</f>
        <v>1</v>
      </c>
      <c r="K14" s="1">
        <f t="shared" si="5"/>
        <v>21060.000000000004</v>
      </c>
      <c r="M14" s="1">
        <f>'Evolution RH en nombre'!I12</f>
        <v>1300</v>
      </c>
      <c r="N14" s="1">
        <f>'Evolution RH en nombre'!J12</f>
        <v>1755.0000000000002</v>
      </c>
    </row>
    <row r="15" spans="1:14" x14ac:dyDescent="0.2">
      <c r="A15" s="8" t="s">
        <v>19</v>
      </c>
      <c r="B15" s="1">
        <f>'Evolution RH en nombre'!B13</f>
        <v>0</v>
      </c>
      <c r="C15" s="1">
        <f t="shared" si="1"/>
        <v>0</v>
      </c>
      <c r="D15" s="23">
        <f>'Evolution RH en nombre'!C13+'Evolution RH en nombre'!B13</f>
        <v>0</v>
      </c>
      <c r="E15" s="1">
        <f t="shared" si="2"/>
        <v>0</v>
      </c>
      <c r="F15" s="23">
        <f>'Evolution RH en nombre'!D13+'Evolution RH en nombre'!C13+'Evolution RH en nombre'!B13</f>
        <v>1</v>
      </c>
      <c r="G15" s="1">
        <f t="shared" si="3"/>
        <v>19440</v>
      </c>
      <c r="H15" s="23">
        <f>'Evolution RH en nombre'!E13+'Evolution RH en nombre'!D13+'Evolution RH en nombre'!C13+'Evolution RH en nombre'!B13</f>
        <v>1</v>
      </c>
      <c r="I15" s="1">
        <f t="shared" si="4"/>
        <v>19440</v>
      </c>
      <c r="J15" s="23">
        <f>'Evolution RH en nombre'!F13+'Evolution RH en nombre'!E13+'Evolution RH en nombre'!D13+'Evolution RH en nombre'!C13+'Evolution RH en nombre'!B13</f>
        <v>1</v>
      </c>
      <c r="K15" s="1">
        <f t="shared" si="5"/>
        <v>19440</v>
      </c>
      <c r="M15" s="1">
        <f>'Evolution RH en nombre'!I13</f>
        <v>1200</v>
      </c>
      <c r="N15" s="1">
        <f>'Evolution RH en nombre'!J13</f>
        <v>1620</v>
      </c>
    </row>
    <row r="16" spans="1:14" x14ac:dyDescent="0.2">
      <c r="A16" s="8" t="s">
        <v>20</v>
      </c>
      <c r="B16" s="1">
        <f>'Evolution RH en nombre'!B14</f>
        <v>2</v>
      </c>
      <c r="C16" s="1">
        <f t="shared" si="1"/>
        <v>42120.000000000007</v>
      </c>
      <c r="D16" s="23">
        <f>'Evolution RH en nombre'!C14+'Evolution RH en nombre'!B14</f>
        <v>2</v>
      </c>
      <c r="E16" s="1">
        <f t="shared" si="2"/>
        <v>42120.000000000007</v>
      </c>
      <c r="F16" s="23">
        <f>'Evolution RH en nombre'!D14+'Evolution RH en nombre'!C14+'Evolution RH en nombre'!B14</f>
        <v>2</v>
      </c>
      <c r="G16" s="23">
        <f t="shared" si="3"/>
        <v>42120.000000000007</v>
      </c>
      <c r="H16" s="23">
        <f>'Evolution RH en nombre'!E14+'Evolution RH en nombre'!D14+'Evolution RH en nombre'!C14+'Evolution RH en nombre'!B14</f>
        <v>2</v>
      </c>
      <c r="I16" s="23">
        <f t="shared" si="4"/>
        <v>42120.000000000007</v>
      </c>
      <c r="J16" s="23">
        <f>'Evolution RH en nombre'!F14+'Evolution RH en nombre'!E14+'Evolution RH en nombre'!D14+'Evolution RH en nombre'!C14+'Evolution RH en nombre'!B14</f>
        <v>2</v>
      </c>
      <c r="K16" s="1">
        <f t="shared" si="5"/>
        <v>42120.000000000007</v>
      </c>
      <c r="M16" s="1">
        <f>'Evolution RH en nombre'!I14</f>
        <v>1300</v>
      </c>
      <c r="N16" s="1">
        <f>'Evolution RH en nombre'!J14</f>
        <v>1755.0000000000002</v>
      </c>
    </row>
    <row r="17" spans="1:14" x14ac:dyDescent="0.2">
      <c r="A17" s="8" t="s">
        <v>21</v>
      </c>
      <c r="B17" s="1">
        <f>'Evolution RH en nombre'!B15</f>
        <v>5</v>
      </c>
      <c r="C17" s="1">
        <f t="shared" si="1"/>
        <v>64800</v>
      </c>
      <c r="D17" s="23">
        <f>'Evolution RH en nombre'!C15+'Evolution RH en nombre'!B15</f>
        <v>5.75</v>
      </c>
      <c r="E17" s="1">
        <f t="shared" si="2"/>
        <v>74520</v>
      </c>
      <c r="F17" s="23">
        <f>'Evolution RH en nombre'!D15+'Evolution RH en nombre'!C15+'Evolution RH en nombre'!B15</f>
        <v>6.6124999999999998</v>
      </c>
      <c r="G17" s="23">
        <f t="shared" si="3"/>
        <v>85698</v>
      </c>
      <c r="H17" s="23">
        <f>'Evolution RH en nombre'!E15+'Evolution RH en nombre'!D15+'Evolution RH en nombre'!C15+'Evolution RH en nombre'!B15</f>
        <v>7.6043750000000001</v>
      </c>
      <c r="I17" s="23">
        <f t="shared" si="4"/>
        <v>98552.700000000012</v>
      </c>
      <c r="J17" s="23">
        <f>'Evolution RH en nombre'!F15+'Evolution RH en nombre'!E15+'Evolution RH en nombre'!D15+'Evolution RH en nombre'!C15+'Evolution RH en nombre'!B15</f>
        <v>8.7450312500000003</v>
      </c>
      <c r="K17" s="23">
        <f t="shared" si="5"/>
        <v>113335.60500000001</v>
      </c>
      <c r="M17" s="1">
        <f>'Evolution RH en nombre'!I15</f>
        <v>800</v>
      </c>
      <c r="N17" s="1">
        <f>'Evolution RH en nombre'!J15</f>
        <v>1080</v>
      </c>
    </row>
    <row r="18" spans="1:14" x14ac:dyDescent="0.2">
      <c r="A18" s="8" t="s">
        <v>22</v>
      </c>
      <c r="B18" s="1">
        <f>'Evolution RH en nombre'!B16</f>
        <v>3</v>
      </c>
      <c r="C18" s="1">
        <f t="shared" si="1"/>
        <v>38880</v>
      </c>
      <c r="D18" s="23">
        <f>'Evolution RH en nombre'!C16+'Evolution RH en nombre'!B16</f>
        <v>3.45</v>
      </c>
      <c r="E18" s="1">
        <f t="shared" si="2"/>
        <v>44712</v>
      </c>
      <c r="F18" s="23">
        <f>'Evolution RH en nombre'!D16+'Evolution RH en nombre'!C16+'Evolution RH en nombre'!B16</f>
        <v>3.9674999999999998</v>
      </c>
      <c r="G18" s="23">
        <f t="shared" si="3"/>
        <v>51418.799999999996</v>
      </c>
      <c r="H18" s="23">
        <f>'Evolution RH en nombre'!E16+'Evolution RH en nombre'!D16+'Evolution RH en nombre'!C16+'Evolution RH en nombre'!B16</f>
        <v>4.5626249999999997</v>
      </c>
      <c r="I18" s="23">
        <f t="shared" si="4"/>
        <v>59131.619999999995</v>
      </c>
      <c r="J18" s="23">
        <f>'Evolution RH en nombre'!F16+'Evolution RH en nombre'!E16+'Evolution RH en nombre'!D16+'Evolution RH en nombre'!C16+'Evolution RH en nombre'!B16</f>
        <v>5.2470187499999996</v>
      </c>
      <c r="K18" s="23">
        <f t="shared" si="5"/>
        <v>68001.362999999998</v>
      </c>
      <c r="M18" s="1">
        <f>'Evolution RH en nombre'!I16</f>
        <v>800</v>
      </c>
      <c r="N18" s="1">
        <f>'Evolution RH en nombre'!J16</f>
        <v>1080</v>
      </c>
    </row>
    <row r="19" spans="1:14" x14ac:dyDescent="0.2">
      <c r="A19" s="8" t="s">
        <v>23</v>
      </c>
      <c r="B19" s="1">
        <f>'Evolution RH en nombre'!B17</f>
        <v>1</v>
      </c>
      <c r="C19" s="1">
        <f t="shared" si="1"/>
        <v>12960</v>
      </c>
      <c r="D19" s="23">
        <f>'Evolution RH en nombre'!C17+'Evolution RH en nombre'!B17</f>
        <v>1.1499999999999999</v>
      </c>
      <c r="E19" s="1">
        <f t="shared" si="2"/>
        <v>14904</v>
      </c>
      <c r="F19" s="23">
        <f>'Evolution RH en nombre'!D17+'Evolution RH en nombre'!C17+'Evolution RH en nombre'!B17</f>
        <v>1.3225</v>
      </c>
      <c r="G19" s="23">
        <f t="shared" si="3"/>
        <v>17139.599999999999</v>
      </c>
      <c r="H19" s="23">
        <f>'Evolution RH en nombre'!E17+'Evolution RH en nombre'!D17+'Evolution RH en nombre'!C17+'Evolution RH en nombre'!B17</f>
        <v>1.520875</v>
      </c>
      <c r="I19" s="23">
        <f t="shared" si="4"/>
        <v>19710.54</v>
      </c>
      <c r="J19" s="23">
        <f>'Evolution RH en nombre'!F17+'Evolution RH en nombre'!E17+'Evolution RH en nombre'!D17+'Evolution RH en nombre'!C17+'Evolution RH en nombre'!B17</f>
        <v>1.7490062499999999</v>
      </c>
      <c r="K19" s="23">
        <f t="shared" si="5"/>
        <v>22667.120999999999</v>
      </c>
      <c r="M19" s="1">
        <f>'Evolution RH en nombre'!I17</f>
        <v>800</v>
      </c>
      <c r="N19" s="1">
        <f>'Evolution RH en nombre'!J17</f>
        <v>1080</v>
      </c>
    </row>
    <row r="20" spans="1:14" x14ac:dyDescent="0.2">
      <c r="A20" s="8" t="s">
        <v>24</v>
      </c>
      <c r="B20" s="1">
        <f>'Evolution RH en nombre'!B18</f>
        <v>0</v>
      </c>
      <c r="C20" s="1">
        <f t="shared" si="1"/>
        <v>0</v>
      </c>
      <c r="D20" s="23">
        <f>'Evolution RH en nombre'!C18+'Evolution RH en nombre'!B18</f>
        <v>0</v>
      </c>
      <c r="E20" s="1">
        <f t="shared" si="2"/>
        <v>0</v>
      </c>
      <c r="F20" s="23">
        <f>'Evolution RH en nombre'!D18+'Evolution RH en nombre'!C18+'Evolution RH en nombre'!B18</f>
        <v>1</v>
      </c>
      <c r="G20" s="1">
        <f t="shared" si="3"/>
        <v>15390</v>
      </c>
      <c r="H20" s="23">
        <f>'Evolution RH en nombre'!E18+'Evolution RH en nombre'!D18+'Evolution RH en nombre'!C18+'Evolution RH en nombre'!B18</f>
        <v>1</v>
      </c>
      <c r="I20" s="23">
        <f t="shared" si="4"/>
        <v>15390</v>
      </c>
      <c r="J20" s="23">
        <f>'Evolution RH en nombre'!F18+'Evolution RH en nombre'!E18+'Evolution RH en nombre'!D18+'Evolution RH en nombre'!C18+'Evolution RH en nombre'!B18</f>
        <v>1</v>
      </c>
      <c r="K20" s="23">
        <f t="shared" si="5"/>
        <v>15390</v>
      </c>
      <c r="M20" s="1">
        <f>'Evolution RH en nombre'!I18</f>
        <v>950</v>
      </c>
      <c r="N20" s="1">
        <f>'Evolution RH en nombre'!J18</f>
        <v>1282.5</v>
      </c>
    </row>
    <row r="21" spans="1:14" x14ac:dyDescent="0.2">
      <c r="A21" s="8" t="s">
        <v>25</v>
      </c>
      <c r="B21" s="1">
        <f>'Evolution RH en nombre'!B19</f>
        <v>2</v>
      </c>
      <c r="C21" s="1">
        <f t="shared" si="1"/>
        <v>19440</v>
      </c>
      <c r="D21" s="23">
        <f>'Evolution RH en nombre'!C19+'Evolution RH en nombre'!B19</f>
        <v>5</v>
      </c>
      <c r="E21" s="1">
        <f t="shared" si="2"/>
        <v>48600</v>
      </c>
      <c r="F21" s="23">
        <f>'Evolution RH en nombre'!D19+'Evolution RH en nombre'!C19+'Evolution RH en nombre'!B19</f>
        <v>7</v>
      </c>
      <c r="G21" s="1">
        <f t="shared" si="3"/>
        <v>68040</v>
      </c>
      <c r="H21" s="23">
        <f>'Evolution RH en nombre'!E19+'Evolution RH en nombre'!D19+'Evolution RH en nombre'!C19+'Evolution RH en nombre'!B19</f>
        <v>7</v>
      </c>
      <c r="I21" s="1">
        <f t="shared" si="4"/>
        <v>68040</v>
      </c>
      <c r="J21" s="23">
        <f>'Evolution RH en nombre'!F19+'Evolution RH en nombre'!E19+'Evolution RH en nombre'!D19+'Evolution RH en nombre'!C19+'Evolution RH en nombre'!B19</f>
        <v>7</v>
      </c>
      <c r="K21" s="23">
        <f t="shared" si="5"/>
        <v>68040</v>
      </c>
      <c r="M21" s="1">
        <f>'Evolution RH en nombre'!I19</f>
        <v>600</v>
      </c>
      <c r="N21" s="1">
        <f>'Evolution RH en nombre'!J19</f>
        <v>810</v>
      </c>
    </row>
    <row r="22" spans="1:14" x14ac:dyDescent="0.2">
      <c r="A22" s="8" t="s">
        <v>26</v>
      </c>
      <c r="B22" s="1">
        <f>'Evolution RH en nombre'!B20</f>
        <v>1</v>
      </c>
      <c r="C22" s="1">
        <f t="shared" si="1"/>
        <v>24300.000000000004</v>
      </c>
      <c r="D22" s="23">
        <f>'Evolution RH en nombre'!C20+'Evolution RH en nombre'!B20</f>
        <v>1</v>
      </c>
      <c r="E22" s="1">
        <f t="shared" si="2"/>
        <v>24300.000000000004</v>
      </c>
      <c r="F22" s="23">
        <f>'Evolution RH en nombre'!D20+'Evolution RH en nombre'!C20+'Evolution RH en nombre'!B20</f>
        <v>1</v>
      </c>
      <c r="G22" s="1">
        <f t="shared" si="3"/>
        <v>24300.000000000004</v>
      </c>
      <c r="H22" s="23">
        <f>'Evolution RH en nombre'!E20+'Evolution RH en nombre'!D20+'Evolution RH en nombre'!C20+'Evolution RH en nombre'!B20</f>
        <v>1</v>
      </c>
      <c r="I22" s="1">
        <f t="shared" si="4"/>
        <v>24300.000000000004</v>
      </c>
      <c r="J22" s="23">
        <f>'Evolution RH en nombre'!F20+'Evolution RH en nombre'!E20+'Evolution RH en nombre'!D20+'Evolution RH en nombre'!C20+'Evolution RH en nombre'!B20</f>
        <v>1</v>
      </c>
      <c r="K22" s="23">
        <f t="shared" si="5"/>
        <v>24300.000000000004</v>
      </c>
      <c r="M22" s="1">
        <f>'Evolution RH en nombre'!I20</f>
        <v>1500</v>
      </c>
      <c r="N22" s="1">
        <f>'Evolution RH en nombre'!J20</f>
        <v>2025.0000000000002</v>
      </c>
    </row>
    <row r="23" spans="1:14" x14ac:dyDescent="0.2">
      <c r="A23" s="8" t="s">
        <v>27</v>
      </c>
      <c r="B23" s="1">
        <f>'Evolution RH en nombre'!B21</f>
        <v>0</v>
      </c>
      <c r="C23" s="1">
        <f t="shared" si="1"/>
        <v>0</v>
      </c>
      <c r="D23" s="23">
        <f>'Evolution RH en nombre'!C21+'Evolution RH en nombre'!B21</f>
        <v>0</v>
      </c>
      <c r="E23" s="1">
        <f t="shared" si="2"/>
        <v>0</v>
      </c>
      <c r="F23" s="23">
        <f>'Evolution RH en nombre'!D21+'Evolution RH en nombre'!C21+'Evolution RH en nombre'!B21</f>
        <v>1</v>
      </c>
      <c r="G23" s="1">
        <f t="shared" si="3"/>
        <v>21060.000000000004</v>
      </c>
      <c r="H23" s="23">
        <f>'Evolution RH en nombre'!E21+'Evolution RH en nombre'!D21+'Evolution RH en nombre'!C21+'Evolution RH en nombre'!B21</f>
        <v>1</v>
      </c>
      <c r="I23" s="1">
        <f t="shared" si="4"/>
        <v>21060.000000000004</v>
      </c>
      <c r="J23" s="23">
        <f>'Evolution RH en nombre'!F21+'Evolution RH en nombre'!E21+'Evolution RH en nombre'!D21+'Evolution RH en nombre'!C21+'Evolution RH en nombre'!B21</f>
        <v>1</v>
      </c>
      <c r="K23" s="1">
        <f t="shared" si="5"/>
        <v>21060.000000000004</v>
      </c>
      <c r="M23" s="1">
        <f>'Evolution RH en nombre'!I21</f>
        <v>1300</v>
      </c>
      <c r="N23" s="1">
        <f>'Evolution RH en nombre'!J21</f>
        <v>1755.0000000000002</v>
      </c>
    </row>
    <row r="24" spans="1:14" x14ac:dyDescent="0.2">
      <c r="A24" s="8" t="s">
        <v>28</v>
      </c>
      <c r="B24" s="1">
        <f>'Evolution RH en nombre'!B22</f>
        <v>0</v>
      </c>
      <c r="C24" s="1">
        <f t="shared" si="1"/>
        <v>0</v>
      </c>
      <c r="D24" s="23">
        <f>'Evolution RH en nombre'!C22+'Evolution RH en nombre'!B22</f>
        <v>0</v>
      </c>
      <c r="E24" s="1">
        <f t="shared" si="2"/>
        <v>0</v>
      </c>
      <c r="F24" s="23">
        <f>'Evolution RH en nombre'!D22+'Evolution RH en nombre'!C22+'Evolution RH en nombre'!B22</f>
        <v>1</v>
      </c>
      <c r="G24" s="1">
        <f t="shared" si="3"/>
        <v>21060.000000000004</v>
      </c>
      <c r="H24" s="23">
        <f>'Evolution RH en nombre'!E22+'Evolution RH en nombre'!D22+'Evolution RH en nombre'!C22+'Evolution RH en nombre'!B22</f>
        <v>1</v>
      </c>
      <c r="I24" s="1">
        <f t="shared" si="4"/>
        <v>21060.000000000004</v>
      </c>
      <c r="J24" s="23">
        <f>'Evolution RH en nombre'!F22+'Evolution RH en nombre'!E22+'Evolution RH en nombre'!D22+'Evolution RH en nombre'!C22+'Evolution RH en nombre'!B22</f>
        <v>1</v>
      </c>
      <c r="K24" s="1">
        <f t="shared" si="5"/>
        <v>21060.000000000004</v>
      </c>
      <c r="M24" s="1">
        <f>'Evolution RH en nombre'!I22</f>
        <v>1300</v>
      </c>
      <c r="N24" s="1">
        <f>'Evolution RH en nombre'!J22</f>
        <v>1755.0000000000002</v>
      </c>
    </row>
    <row r="25" spans="1:14" x14ac:dyDescent="0.2">
      <c r="A25" s="31" t="s">
        <v>15</v>
      </c>
      <c r="B25" s="25">
        <f t="shared" ref="B25:K25" si="6">SUM(B13:B24)</f>
        <v>15</v>
      </c>
      <c r="C25" s="25">
        <f t="shared" si="6"/>
        <v>230040</v>
      </c>
      <c r="D25" s="25">
        <f t="shared" si="6"/>
        <v>19.350000000000001</v>
      </c>
      <c r="E25" s="25">
        <f t="shared" si="6"/>
        <v>276696</v>
      </c>
      <c r="F25" s="25">
        <f t="shared" si="6"/>
        <v>27.9025</v>
      </c>
      <c r="G25" s="25">
        <f t="shared" si="6"/>
        <v>414266.39999999997</v>
      </c>
      <c r="H25" s="25">
        <f t="shared" si="6"/>
        <v>29.687875000000002</v>
      </c>
      <c r="I25" s="25">
        <f t="shared" si="6"/>
        <v>437404.86</v>
      </c>
      <c r="J25" s="25">
        <f t="shared" si="6"/>
        <v>31.74105625</v>
      </c>
      <c r="K25" s="25">
        <f t="shared" si="6"/>
        <v>464014.08899999998</v>
      </c>
      <c r="L25" s="21"/>
      <c r="M25" s="21"/>
      <c r="N25" s="21"/>
    </row>
    <row r="26" spans="1:14" x14ac:dyDescent="0.2">
      <c r="A26" s="8"/>
    </row>
    <row r="27" spans="1:14" x14ac:dyDescent="0.2">
      <c r="A27" s="31" t="s">
        <v>29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spans="1:14" s="4" customFormat="1" ht="30" customHeight="1" x14ac:dyDescent="0.2">
      <c r="A28" s="216" t="s">
        <v>1</v>
      </c>
      <c r="B28" s="216" t="s">
        <v>2</v>
      </c>
      <c r="C28" s="216"/>
      <c r="D28" s="216" t="s">
        <v>3</v>
      </c>
      <c r="E28" s="216"/>
      <c r="F28" s="216" t="s">
        <v>4</v>
      </c>
      <c r="G28" s="216"/>
      <c r="H28" s="216" t="s">
        <v>5</v>
      </c>
      <c r="I28" s="216"/>
      <c r="J28" s="216" t="s">
        <v>6</v>
      </c>
      <c r="K28" s="216"/>
      <c r="L28" s="4" t="s">
        <v>8</v>
      </c>
      <c r="M28" s="4" t="s">
        <v>9</v>
      </c>
      <c r="N28" s="4" t="s">
        <v>10</v>
      </c>
    </row>
    <row r="29" spans="1:14" ht="16" x14ac:dyDescent="0.2">
      <c r="A29" s="216"/>
      <c r="B29" s="4" t="s">
        <v>41</v>
      </c>
      <c r="C29" s="4" t="s">
        <v>57</v>
      </c>
      <c r="D29" s="4" t="s">
        <v>41</v>
      </c>
      <c r="E29" s="4" t="s">
        <v>57</v>
      </c>
      <c r="F29" s="4" t="s">
        <v>41</v>
      </c>
      <c r="G29" s="4" t="s">
        <v>57</v>
      </c>
      <c r="H29" s="4" t="s">
        <v>41</v>
      </c>
      <c r="I29" s="4" t="s">
        <v>57</v>
      </c>
      <c r="J29" s="4" t="s">
        <v>41</v>
      </c>
      <c r="K29" s="4" t="s">
        <v>57</v>
      </c>
    </row>
    <row r="30" spans="1:14" x14ac:dyDescent="0.2">
      <c r="A30" s="8" t="s">
        <v>30</v>
      </c>
      <c r="B30" s="1">
        <f>'Evolution RH en nombre'!B27</f>
        <v>1</v>
      </c>
      <c r="C30" s="1">
        <f>B30*N30*12</f>
        <v>24300.000000000004</v>
      </c>
      <c r="D30" s="1">
        <f>'Evolution RH en nombre'!C27+'Evolution RH en nombre'!B27</f>
        <v>1</v>
      </c>
      <c r="E30" s="1">
        <f>D30*N30*12</f>
        <v>24300.000000000004</v>
      </c>
      <c r="F30" s="1">
        <f>'Evolution RH en nombre'!D27+'Evolution RH en nombre'!C27+'Evolution RH en nombre'!B27</f>
        <v>1</v>
      </c>
      <c r="G30" s="1">
        <f>F30*N30*12</f>
        <v>24300.000000000004</v>
      </c>
      <c r="H30" s="1">
        <f>'Evolution RH en nombre'!E27+'Evolution RH en nombre'!D27+'Evolution RH en nombre'!C27+'Evolution RH en nombre'!B27</f>
        <v>1</v>
      </c>
      <c r="I30" s="1">
        <f>H30*N30*12</f>
        <v>24300.000000000004</v>
      </c>
      <c r="J30" s="1">
        <f>'Evolution RH en nombre'!F27+'Evolution RH en nombre'!E27+'Evolution RH en nombre'!D27+'Evolution RH en nombre'!C27+'Evolution RH en nombre'!B27</f>
        <v>1</v>
      </c>
      <c r="K30" s="1">
        <f>J30*N30*12</f>
        <v>24300.000000000004</v>
      </c>
      <c r="M30" s="1">
        <f>'Evolution RH en nombre'!I27</f>
        <v>1500</v>
      </c>
      <c r="N30" s="1">
        <f>'Evolution RH en nombre'!J27</f>
        <v>2025.0000000000002</v>
      </c>
    </row>
    <row r="31" spans="1:14" x14ac:dyDescent="0.2">
      <c r="A31" s="8" t="s">
        <v>31</v>
      </c>
      <c r="B31" s="1">
        <f>'Evolution RH en nombre'!B28</f>
        <v>0</v>
      </c>
      <c r="C31" s="1">
        <f>B31*N31*12</f>
        <v>0</v>
      </c>
      <c r="D31" s="1">
        <f>'Evolution RH en nombre'!C28+'Evolution RH en nombre'!B28</f>
        <v>0</v>
      </c>
      <c r="E31" s="1">
        <f>D31*N31*12</f>
        <v>0</v>
      </c>
      <c r="F31" s="1">
        <f>'Evolution RH en nombre'!D28+'Evolution RH en nombre'!C28+'Evolution RH en nombre'!B28</f>
        <v>1</v>
      </c>
      <c r="G31" s="1">
        <f>F31*N31*12</f>
        <v>12150.000000000002</v>
      </c>
      <c r="H31" s="1">
        <f>'Evolution RH en nombre'!E28+'Evolution RH en nombre'!D28+'Evolution RH en nombre'!C28+'Evolution RH en nombre'!B28</f>
        <v>1</v>
      </c>
      <c r="I31" s="1">
        <f>H31*N31*12</f>
        <v>12150.000000000002</v>
      </c>
      <c r="J31" s="1">
        <f>'Evolution RH en nombre'!F28+'Evolution RH en nombre'!E28+'Evolution RH en nombre'!D28+'Evolution RH en nombre'!C28+'Evolution RH en nombre'!B28</f>
        <v>1</v>
      </c>
      <c r="K31" s="1">
        <f>J31*N31*12</f>
        <v>12150.000000000002</v>
      </c>
      <c r="M31" s="1">
        <f>'Evolution RH en nombre'!I28</f>
        <v>750</v>
      </c>
      <c r="N31" s="1">
        <f>'Evolution RH en nombre'!J28</f>
        <v>1012.5000000000001</v>
      </c>
    </row>
    <row r="32" spans="1:14" x14ac:dyDescent="0.2">
      <c r="A32" s="8" t="s">
        <v>32</v>
      </c>
      <c r="B32" s="1">
        <f>'Evolution RH en nombre'!B29</f>
        <v>0</v>
      </c>
      <c r="C32" s="1">
        <f>B32*N32*12</f>
        <v>0</v>
      </c>
      <c r="D32" s="1">
        <f>'Evolution RH en nombre'!C29+'Evolution RH en nombre'!B29</f>
        <v>1</v>
      </c>
      <c r="E32" s="1">
        <f>D32*N32*12</f>
        <v>12150.000000000002</v>
      </c>
      <c r="F32" s="1">
        <f>'Evolution RH en nombre'!D29+'Evolution RH en nombre'!C29+'Evolution RH en nombre'!B29</f>
        <v>1</v>
      </c>
      <c r="G32" s="1">
        <f>F32*N32*12</f>
        <v>12150.000000000002</v>
      </c>
      <c r="H32" s="1">
        <f>'Evolution RH en nombre'!E29+'Evolution RH en nombre'!D29+'Evolution RH en nombre'!C29+'Evolution RH en nombre'!B29</f>
        <v>1</v>
      </c>
      <c r="I32" s="1">
        <f>H32*N32*12</f>
        <v>12150.000000000002</v>
      </c>
      <c r="J32" s="1">
        <f>'Evolution RH en nombre'!F29+'Evolution RH en nombre'!E29+'Evolution RH en nombre'!D29+'Evolution RH en nombre'!C29+'Evolution RH en nombre'!B29</f>
        <v>1</v>
      </c>
      <c r="K32" s="1">
        <f>J32*N32*12</f>
        <v>12150.000000000002</v>
      </c>
      <c r="M32" s="1">
        <f>'Evolution RH en nombre'!I29</f>
        <v>750</v>
      </c>
      <c r="N32" s="1">
        <f>'Evolution RH en nombre'!J29</f>
        <v>1012.5000000000001</v>
      </c>
    </row>
    <row r="33" spans="1:17" x14ac:dyDescent="0.2">
      <c r="A33" s="8" t="s">
        <v>33</v>
      </c>
      <c r="B33" s="1">
        <f>'Evolution RH en nombre'!B30</f>
        <v>1</v>
      </c>
      <c r="C33" s="1">
        <f>B33*N33*12</f>
        <v>7290</v>
      </c>
      <c r="D33" s="1">
        <f>'Evolution RH en nombre'!C30+'Evolution RH en nombre'!B30</f>
        <v>1</v>
      </c>
      <c r="E33" s="1">
        <f>D33*N33*12</f>
        <v>7290</v>
      </c>
      <c r="F33" s="1">
        <f>'Evolution RH en nombre'!D30+'Evolution RH en nombre'!C30+'Evolution RH en nombre'!B30</f>
        <v>1</v>
      </c>
      <c r="G33" s="1">
        <f>F33*N33*12</f>
        <v>7290</v>
      </c>
      <c r="H33" s="1">
        <f>'Evolution RH en nombre'!E30+'Evolution RH en nombre'!D30+'Evolution RH en nombre'!C30+'Evolution RH en nombre'!B30</f>
        <v>1</v>
      </c>
      <c r="I33" s="1">
        <f>H33*N33*12</f>
        <v>7290</v>
      </c>
      <c r="J33" s="1">
        <f>'Evolution RH en nombre'!F30+'Evolution RH en nombre'!E30+'Evolution RH en nombre'!D30+'Evolution RH en nombre'!C30+'Evolution RH en nombre'!B30</f>
        <v>1</v>
      </c>
      <c r="K33" s="1">
        <f>J33*N33*12</f>
        <v>7290</v>
      </c>
      <c r="M33" s="1">
        <f>'Evolution RH en nombre'!I30</f>
        <v>450</v>
      </c>
      <c r="N33" s="1">
        <f>'Evolution RH en nombre'!J30</f>
        <v>607.5</v>
      </c>
    </row>
    <row r="34" spans="1:17" x14ac:dyDescent="0.2">
      <c r="A34" s="31" t="s">
        <v>15</v>
      </c>
      <c r="B34" s="21">
        <f t="shared" ref="B34:K34" si="7">SUM(B30:B33)</f>
        <v>2</v>
      </c>
      <c r="C34" s="21">
        <f t="shared" si="7"/>
        <v>31590.000000000004</v>
      </c>
      <c r="D34" s="21">
        <f t="shared" si="7"/>
        <v>3</v>
      </c>
      <c r="E34" s="21">
        <f t="shared" si="7"/>
        <v>43740.000000000007</v>
      </c>
      <c r="F34" s="21">
        <f t="shared" si="7"/>
        <v>4</v>
      </c>
      <c r="G34" s="21">
        <f t="shared" si="7"/>
        <v>55890.000000000007</v>
      </c>
      <c r="H34" s="21">
        <f t="shared" si="7"/>
        <v>4</v>
      </c>
      <c r="I34" s="21">
        <f t="shared" si="7"/>
        <v>55890.000000000007</v>
      </c>
      <c r="J34" s="21">
        <f t="shared" si="7"/>
        <v>4</v>
      </c>
      <c r="K34" s="21">
        <f t="shared" si="7"/>
        <v>55890.000000000007</v>
      </c>
      <c r="L34" s="21"/>
      <c r="M34" s="21"/>
      <c r="N34" s="21"/>
    </row>
    <row r="35" spans="1:17" x14ac:dyDescent="0.2">
      <c r="A35" s="8"/>
    </row>
    <row r="36" spans="1:17" x14ac:dyDescent="0.2">
      <c r="A36" s="31" t="s">
        <v>34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7" s="4" customFormat="1" ht="30" customHeight="1" x14ac:dyDescent="0.2">
      <c r="A37" s="216" t="s">
        <v>1</v>
      </c>
      <c r="B37" s="216" t="s">
        <v>2</v>
      </c>
      <c r="C37" s="216"/>
      <c r="D37" s="216" t="s">
        <v>3</v>
      </c>
      <c r="E37" s="216"/>
      <c r="F37" s="216" t="s">
        <v>4</v>
      </c>
      <c r="G37" s="216"/>
      <c r="H37" s="216" t="s">
        <v>5</v>
      </c>
      <c r="I37" s="216"/>
      <c r="J37" s="216" t="s">
        <v>6</v>
      </c>
      <c r="K37" s="216"/>
      <c r="L37" s="4" t="s">
        <v>8</v>
      </c>
      <c r="M37" s="4" t="s">
        <v>9</v>
      </c>
      <c r="N37" s="4" t="s">
        <v>10</v>
      </c>
    </row>
    <row r="38" spans="1:17" ht="16" x14ac:dyDescent="0.2">
      <c r="A38" s="216"/>
      <c r="B38" s="4" t="s">
        <v>41</v>
      </c>
      <c r="C38" s="4" t="s">
        <v>57</v>
      </c>
      <c r="D38" s="4" t="s">
        <v>41</v>
      </c>
      <c r="E38" s="4" t="s">
        <v>57</v>
      </c>
      <c r="F38" s="4" t="s">
        <v>41</v>
      </c>
      <c r="G38" s="4" t="s">
        <v>57</v>
      </c>
      <c r="H38" s="4" t="s">
        <v>41</v>
      </c>
      <c r="I38" s="4" t="s">
        <v>57</v>
      </c>
      <c r="J38" s="4" t="s">
        <v>41</v>
      </c>
      <c r="K38" s="4" t="s">
        <v>57</v>
      </c>
    </row>
    <row r="39" spans="1:17" s="16" customFormat="1" x14ac:dyDescent="0.2">
      <c r="A39" s="8" t="s">
        <v>35</v>
      </c>
      <c r="B39" s="16">
        <f>'Evolution RH en nombre'!B35</f>
        <v>1</v>
      </c>
      <c r="C39" s="16">
        <f>B39*N39*12</f>
        <v>24300.000000000004</v>
      </c>
      <c r="D39" s="16">
        <f>B39+'Evolution RH en nombre'!C35</f>
        <v>1</v>
      </c>
      <c r="E39" s="16">
        <f>D39*N39*12</f>
        <v>24300.000000000004</v>
      </c>
      <c r="F39" s="16">
        <f>'Evolution RH en nombre'!D35+'Budget RH en nombre TTC'!D39</f>
        <v>1</v>
      </c>
      <c r="G39" s="16">
        <f>F39*N39*12</f>
        <v>24300.000000000004</v>
      </c>
      <c r="H39" s="16">
        <f>F39+'Evolution RH en nombre'!E35</f>
        <v>1</v>
      </c>
      <c r="I39" s="16">
        <f>H39*N39*12</f>
        <v>24300.000000000004</v>
      </c>
      <c r="J39" s="16">
        <f>H39+'Evolution RH en nombre'!F35</f>
        <v>1</v>
      </c>
      <c r="K39" s="16">
        <f>J39*N39*12</f>
        <v>24300.000000000004</v>
      </c>
      <c r="M39" s="16">
        <f>'Evolution RH en nombre'!I35</f>
        <v>1500</v>
      </c>
      <c r="N39" s="26">
        <f>'Evolution RH en nombre'!J35</f>
        <v>2025.0000000000002</v>
      </c>
    </row>
    <row r="40" spans="1:17" x14ac:dyDescent="0.2">
      <c r="A40" s="8" t="s">
        <v>36</v>
      </c>
      <c r="B40" s="1">
        <f>'Evolution RH en nombre'!B36</f>
        <v>0</v>
      </c>
      <c r="C40" s="1">
        <f>B40*N40*12</f>
        <v>0</v>
      </c>
      <c r="D40" s="1">
        <f>'Evolution RH en nombre'!C36+'Evolution RH en nombre'!B36</f>
        <v>1</v>
      </c>
      <c r="E40" s="1">
        <f>D40*N40*12</f>
        <v>19440</v>
      </c>
      <c r="F40" s="1">
        <f>'Evolution RH en nombre'!D36+'Evolution RH en nombre'!C36+'Evolution RH en nombre'!B36</f>
        <v>1</v>
      </c>
      <c r="G40" s="1">
        <f>F40*N40*12</f>
        <v>19440</v>
      </c>
      <c r="H40" s="1">
        <f>'Evolution RH en nombre'!E36+'Evolution RH en nombre'!D36+'Evolution RH en nombre'!C36+'Evolution RH en nombre'!B36</f>
        <v>1</v>
      </c>
      <c r="I40" s="1">
        <f>H40*N40*12</f>
        <v>19440</v>
      </c>
      <c r="J40" s="1">
        <f>'Evolution RH en nombre'!F36+'Evolution RH en nombre'!E36+'Evolution RH en nombre'!D36+'Evolution RH en nombre'!C36+'Evolution RH en nombre'!B36</f>
        <v>1</v>
      </c>
      <c r="K40" s="1">
        <f>J40*N40*12</f>
        <v>19440</v>
      </c>
      <c r="L40" s="27">
        <v>0.03</v>
      </c>
      <c r="M40" s="1">
        <f>'Evolution RH en nombre'!I36</f>
        <v>1200</v>
      </c>
      <c r="N40" s="1">
        <f>'Evolution RH en nombre'!J36</f>
        <v>1620</v>
      </c>
    </row>
    <row r="41" spans="1:17" x14ac:dyDescent="0.2">
      <c r="A41" s="8" t="s">
        <v>37</v>
      </c>
      <c r="B41" s="1">
        <f>'Evolution RH en nombre'!B37</f>
        <v>0</v>
      </c>
      <c r="C41" s="1">
        <f>B41*N41*12</f>
        <v>0</v>
      </c>
      <c r="D41" s="1">
        <f>'Evolution RH en nombre'!C37+'Evolution RH en nombre'!B37</f>
        <v>0</v>
      </c>
      <c r="E41" s="1">
        <f>D41*N41*12</f>
        <v>0</v>
      </c>
      <c r="F41" s="1">
        <f>'Evolution RH en nombre'!D37+'Evolution RH en nombre'!C37+'Evolution RH en nombre'!B37</f>
        <v>1</v>
      </c>
      <c r="G41" s="1">
        <f>F41*N41*12</f>
        <v>16200</v>
      </c>
      <c r="H41" s="1">
        <f>'Evolution RH en nombre'!E37+'Evolution RH en nombre'!D37+'Evolution RH en nombre'!C37+'Evolution RH en nombre'!B37</f>
        <v>1</v>
      </c>
      <c r="I41" s="1">
        <f>H41*N41*12</f>
        <v>16200</v>
      </c>
      <c r="J41" s="1">
        <f>'Evolution RH en nombre'!F37+'Evolution RH en nombre'!E37+'Evolution RH en nombre'!D37+'Evolution RH en nombre'!C37+'Evolution RH en nombre'!B37</f>
        <v>1</v>
      </c>
      <c r="K41" s="1">
        <f>J41*N41*12</f>
        <v>16200</v>
      </c>
      <c r="M41" s="1">
        <f>'Evolution RH en nombre'!I37</f>
        <v>1000</v>
      </c>
      <c r="N41" s="1">
        <f>'Evolution RH en nombre'!J37</f>
        <v>1350</v>
      </c>
    </row>
    <row r="42" spans="1:17" x14ac:dyDescent="0.2">
      <c r="A42" s="8" t="s">
        <v>38</v>
      </c>
      <c r="B42" s="1">
        <f>'Evolution RH en nombre'!B38</f>
        <v>1</v>
      </c>
      <c r="C42" s="1">
        <f>B42*N42*12</f>
        <v>12150.000000000002</v>
      </c>
      <c r="D42" s="1">
        <f>'Evolution RH en nombre'!C38+'Evolution RH en nombre'!B38</f>
        <v>1</v>
      </c>
      <c r="E42" s="1">
        <f>D42*N42*12</f>
        <v>12150.000000000002</v>
      </c>
      <c r="F42" s="1">
        <f>'Evolution RH en nombre'!D38+'Evolution RH en nombre'!C38+'Evolution RH en nombre'!B38</f>
        <v>1</v>
      </c>
      <c r="G42" s="1">
        <f>F42*N42*12</f>
        <v>12150.000000000002</v>
      </c>
      <c r="H42" s="1">
        <f>'Evolution RH en nombre'!E38+'Evolution RH en nombre'!D38+'Evolution RH en nombre'!C38+'Evolution RH en nombre'!B38</f>
        <v>1</v>
      </c>
      <c r="I42" s="1">
        <f>H42*N42*12</f>
        <v>12150.000000000002</v>
      </c>
      <c r="J42" s="1">
        <f>'Evolution RH en nombre'!F38+'Evolution RH en nombre'!E38+'Evolution RH en nombre'!D38+'Evolution RH en nombre'!C38+'Evolution RH en nombre'!B38</f>
        <v>1</v>
      </c>
      <c r="K42" s="1">
        <f>J42*N42*12</f>
        <v>12150.000000000002</v>
      </c>
      <c r="M42" s="1">
        <f>'Evolution RH en nombre'!I38</f>
        <v>750</v>
      </c>
      <c r="N42" s="1">
        <f>'Evolution RH en nombre'!J38</f>
        <v>1012.5000000000001</v>
      </c>
    </row>
    <row r="43" spans="1:17" x14ac:dyDescent="0.2">
      <c r="A43" s="8" t="s">
        <v>39</v>
      </c>
      <c r="B43" s="1">
        <f>'Evolution RH en nombre'!B39</f>
        <v>0</v>
      </c>
      <c r="C43" s="1">
        <f>B43*N43*12</f>
        <v>0</v>
      </c>
      <c r="D43" s="1">
        <f>'Evolution RH en nombre'!C39+'Evolution RH en nombre'!B39</f>
        <v>1</v>
      </c>
      <c r="E43" s="1">
        <f>D43*N43*12</f>
        <v>11340.000000000002</v>
      </c>
      <c r="F43" s="1">
        <f>'Evolution RH en nombre'!D39+'Evolution RH en nombre'!C39+'Evolution RH en nombre'!B39</f>
        <v>1</v>
      </c>
      <c r="G43" s="1">
        <f>F43*N43*12</f>
        <v>11340.000000000002</v>
      </c>
      <c r="H43" s="1">
        <f>'Evolution RH en nombre'!E39+'Evolution RH en nombre'!D39+'Evolution RH en nombre'!C39+'Evolution RH en nombre'!B39</f>
        <v>1</v>
      </c>
      <c r="I43" s="1">
        <f>H43*N43*12</f>
        <v>11340.000000000002</v>
      </c>
      <c r="J43" s="1">
        <f>'Evolution RH en nombre'!F39+'Evolution RH en nombre'!E39+'Evolution RH en nombre'!D39+'Evolution RH en nombre'!C39+'Evolution RH en nombre'!B39</f>
        <v>1</v>
      </c>
      <c r="K43" s="1">
        <f>J43*N43*12</f>
        <v>11340.000000000002</v>
      </c>
      <c r="M43" s="1">
        <f>'Evolution RH en nombre'!I39</f>
        <v>700</v>
      </c>
      <c r="N43" s="1">
        <f>'Evolution RH en nombre'!J39</f>
        <v>945.00000000000011</v>
      </c>
    </row>
    <row r="44" spans="1:17" x14ac:dyDescent="0.2">
      <c r="A44" s="31" t="s">
        <v>15</v>
      </c>
      <c r="B44" s="21">
        <f t="shared" ref="B44:K44" si="8">SUM(B39:B43)</f>
        <v>2</v>
      </c>
      <c r="C44" s="21">
        <f t="shared" si="8"/>
        <v>36450.000000000007</v>
      </c>
      <c r="D44" s="21">
        <f t="shared" si="8"/>
        <v>4</v>
      </c>
      <c r="E44" s="21">
        <f t="shared" si="8"/>
        <v>67230</v>
      </c>
      <c r="F44" s="21">
        <f t="shared" si="8"/>
        <v>5</v>
      </c>
      <c r="G44" s="21">
        <f t="shared" si="8"/>
        <v>83430</v>
      </c>
      <c r="H44" s="21">
        <f t="shared" si="8"/>
        <v>5</v>
      </c>
      <c r="I44" s="21">
        <f t="shared" si="8"/>
        <v>83430</v>
      </c>
      <c r="J44" s="21">
        <f t="shared" si="8"/>
        <v>5</v>
      </c>
      <c r="K44" s="21">
        <f t="shared" si="8"/>
        <v>83430</v>
      </c>
      <c r="L44" s="21"/>
      <c r="M44" s="21"/>
      <c r="N44" s="21"/>
    </row>
    <row r="46" spans="1:17" x14ac:dyDescent="0.2">
      <c r="A46" s="31" t="s">
        <v>58</v>
      </c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7" s="4" customFormat="1" ht="15" customHeight="1" x14ac:dyDescent="0.2">
      <c r="A47" s="4" t="s">
        <v>15</v>
      </c>
      <c r="B47" s="216" t="s">
        <v>2</v>
      </c>
      <c r="C47" s="216"/>
      <c r="D47" s="216" t="s">
        <v>3</v>
      </c>
      <c r="E47" s="216"/>
      <c r="F47" s="216" t="s">
        <v>4</v>
      </c>
      <c r="G47" s="216"/>
      <c r="H47" s="216" t="s">
        <v>5</v>
      </c>
      <c r="I47" s="216"/>
      <c r="J47" s="216" t="s">
        <v>6</v>
      </c>
      <c r="K47" s="216"/>
    </row>
    <row r="48" spans="1:17" s="35" customFormat="1" x14ac:dyDescent="0.2">
      <c r="A48" s="33"/>
      <c r="B48" s="34" t="s">
        <v>59</v>
      </c>
      <c r="C48" s="34" t="s">
        <v>60</v>
      </c>
      <c r="D48" s="34" t="s">
        <v>59</v>
      </c>
      <c r="E48" s="34" t="s">
        <v>60</v>
      </c>
      <c r="F48" s="34" t="s">
        <v>59</v>
      </c>
      <c r="G48" s="34" t="s">
        <v>60</v>
      </c>
      <c r="H48" s="34" t="s">
        <v>59</v>
      </c>
      <c r="I48" s="34" t="s">
        <v>60</v>
      </c>
      <c r="J48" s="34" t="s">
        <v>59</v>
      </c>
      <c r="K48" s="34" t="s">
        <v>60</v>
      </c>
      <c r="M48" s="16"/>
      <c r="N48" s="16"/>
      <c r="O48" s="16"/>
      <c r="P48" s="16"/>
      <c r="Q48" s="16"/>
    </row>
    <row r="49" spans="1:17" x14ac:dyDescent="0.2">
      <c r="A49" s="36" t="s">
        <v>61</v>
      </c>
      <c r="B49" s="16">
        <f t="shared" ref="B49:K49" si="9">B8+B25+B34+B44</f>
        <v>22</v>
      </c>
      <c r="C49" s="16">
        <f t="shared" si="9"/>
        <v>403380</v>
      </c>
      <c r="D49" s="26">
        <f t="shared" si="9"/>
        <v>29.35</v>
      </c>
      <c r="E49" s="16">
        <f t="shared" si="9"/>
        <v>492966</v>
      </c>
      <c r="F49" s="26">
        <f t="shared" si="9"/>
        <v>40.902500000000003</v>
      </c>
      <c r="G49" s="26">
        <f t="shared" si="9"/>
        <v>707486.39999999991</v>
      </c>
      <c r="H49" s="26">
        <f t="shared" si="9"/>
        <v>42.687875000000005</v>
      </c>
      <c r="I49" s="26">
        <f t="shared" si="9"/>
        <v>730624.86</v>
      </c>
      <c r="J49" s="26">
        <f t="shared" si="9"/>
        <v>44.74105625</v>
      </c>
      <c r="K49" s="16">
        <f t="shared" si="9"/>
        <v>757234.08899999992</v>
      </c>
      <c r="M49" s="16"/>
      <c r="N49" s="16"/>
      <c r="O49" s="16"/>
      <c r="P49" s="16"/>
      <c r="Q49" s="16"/>
    </row>
    <row r="50" spans="1:17" x14ac:dyDescent="0.2">
      <c r="A50" s="36" t="s">
        <v>62</v>
      </c>
      <c r="B50" s="35"/>
      <c r="C50" s="26">
        <f>+C49/1.3</f>
        <v>310292.30769230769</v>
      </c>
      <c r="D50" s="35"/>
      <c r="E50" s="26">
        <f>+E49/1.3</f>
        <v>379204.61538461538</v>
      </c>
      <c r="F50" s="35"/>
      <c r="G50" s="26">
        <f>+G49/1.3</f>
        <v>544220.30769230763</v>
      </c>
      <c r="H50" s="35"/>
      <c r="I50" s="26">
        <f>+I49/1.3</f>
        <v>562019.12307692308</v>
      </c>
      <c r="J50" s="35"/>
      <c r="K50" s="16">
        <f>+K49/1.3</f>
        <v>582487.76076923066</v>
      </c>
      <c r="M50" s="16"/>
      <c r="N50" s="16"/>
      <c r="O50" s="16"/>
      <c r="P50" s="16"/>
      <c r="Q50" s="16"/>
    </row>
    <row r="51" spans="1:17" x14ac:dyDescent="0.2">
      <c r="A51" s="37" t="s">
        <v>63</v>
      </c>
      <c r="B51" s="35"/>
      <c r="C51" s="26">
        <f>+C49-C50</f>
        <v>93087.692307692312</v>
      </c>
      <c r="D51" s="35"/>
      <c r="E51" s="26">
        <f>+E49-E50</f>
        <v>113761.38461538462</v>
      </c>
      <c r="F51" s="35"/>
      <c r="G51" s="26">
        <f>+G49-G50</f>
        <v>163266.09230769228</v>
      </c>
      <c r="H51" s="35"/>
      <c r="I51" s="26">
        <f>+I49-I50</f>
        <v>168605.73692307691</v>
      </c>
      <c r="J51" s="35"/>
      <c r="K51" s="16">
        <f>+K49-K50</f>
        <v>174746.32823076926</v>
      </c>
      <c r="M51" s="16"/>
      <c r="N51" s="16"/>
      <c r="O51" s="16"/>
      <c r="P51" s="16"/>
      <c r="Q51" s="16"/>
    </row>
    <row r="52" spans="1:17" x14ac:dyDescent="0.2">
      <c r="A52" s="37" t="s">
        <v>64</v>
      </c>
      <c r="B52" s="35"/>
      <c r="C52" s="26">
        <f>+C51/4</f>
        <v>23271.923076923078</v>
      </c>
      <c r="D52" s="35"/>
      <c r="E52" s="26">
        <f>+E51/4</f>
        <v>28440.346153846156</v>
      </c>
      <c r="F52" s="35"/>
      <c r="G52" s="26">
        <f>+G51/4</f>
        <v>40816.523076923069</v>
      </c>
      <c r="H52" s="35"/>
      <c r="I52" s="26">
        <f>+I51/4</f>
        <v>42151.434230769228</v>
      </c>
      <c r="J52" s="35"/>
      <c r="K52" s="26">
        <f>+K51/4</f>
        <v>43686.582057692314</v>
      </c>
      <c r="M52" s="16"/>
      <c r="N52" s="16"/>
      <c r="O52" s="16"/>
      <c r="P52" s="16"/>
      <c r="Q52" s="16"/>
    </row>
  </sheetData>
  <mergeCells count="30">
    <mergeCell ref="A1:N1"/>
    <mergeCell ref="A2:A3"/>
    <mergeCell ref="B2:C2"/>
    <mergeCell ref="D2:E2"/>
    <mergeCell ref="F2:G2"/>
    <mergeCell ref="H2:I2"/>
    <mergeCell ref="J2:K2"/>
    <mergeCell ref="J11:K11"/>
    <mergeCell ref="A28:A29"/>
    <mergeCell ref="B28:C28"/>
    <mergeCell ref="D28:E28"/>
    <mergeCell ref="F28:G28"/>
    <mergeCell ref="H28:I28"/>
    <mergeCell ref="J28:K28"/>
    <mergeCell ref="A11:A12"/>
    <mergeCell ref="B11:C11"/>
    <mergeCell ref="D11:E11"/>
    <mergeCell ref="F11:G11"/>
    <mergeCell ref="H11:I11"/>
    <mergeCell ref="A37:A38"/>
    <mergeCell ref="B37:C37"/>
    <mergeCell ref="D37:E37"/>
    <mergeCell ref="F37:G37"/>
    <mergeCell ref="H37:I37"/>
    <mergeCell ref="J37:K37"/>
    <mergeCell ref="B47:C47"/>
    <mergeCell ref="D47:E47"/>
    <mergeCell ref="F47:G47"/>
    <mergeCell ref="H47:I47"/>
    <mergeCell ref="J47:K47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2"/>
  <sheetViews>
    <sheetView topLeftCell="A34" zoomScaleNormal="100" workbookViewId="0">
      <selection activeCell="G57" sqref="G57"/>
    </sheetView>
  </sheetViews>
  <sheetFormatPr baseColWidth="10" defaultColWidth="8.83203125" defaultRowHeight="15" x14ac:dyDescent="0.2"/>
  <cols>
    <col min="1" max="1" width="40.6640625" customWidth="1"/>
    <col min="2" max="6" width="9.1640625" style="1" customWidth="1"/>
    <col min="7" max="7" width="15.33203125" style="1" customWidth="1"/>
    <col min="8" max="8" width="20" customWidth="1"/>
    <col min="9" max="9" width="18.1640625" style="1" customWidth="1"/>
    <col min="10" max="1025" width="9.1640625" customWidth="1"/>
  </cols>
  <sheetData>
    <row r="1" spans="1:9" x14ac:dyDescent="0.2">
      <c r="A1" s="218" t="s">
        <v>0</v>
      </c>
      <c r="B1" s="218"/>
      <c r="C1" s="218"/>
      <c r="D1" s="218"/>
      <c r="E1" s="218"/>
      <c r="F1" s="218"/>
      <c r="G1" s="218"/>
      <c r="H1" s="218"/>
      <c r="I1" s="218"/>
    </row>
    <row r="2" spans="1:9" ht="30" customHeight="1" x14ac:dyDescent="0.2">
      <c r="A2" s="216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8</v>
      </c>
      <c r="H2" s="4" t="s">
        <v>9</v>
      </c>
      <c r="I2" s="4" t="s">
        <v>10</v>
      </c>
    </row>
    <row r="3" spans="1:9" ht="16" x14ac:dyDescent="0.2">
      <c r="A3" s="216"/>
      <c r="B3" s="4" t="s">
        <v>41</v>
      </c>
      <c r="C3" s="4" t="s">
        <v>41</v>
      </c>
      <c r="D3" s="4" t="s">
        <v>41</v>
      </c>
      <c r="E3" s="4" t="s">
        <v>41</v>
      </c>
      <c r="F3" s="4" t="s">
        <v>41</v>
      </c>
      <c r="G3" s="4"/>
      <c r="H3" s="4"/>
      <c r="I3" s="4"/>
    </row>
    <row r="4" spans="1:9" x14ac:dyDescent="0.2">
      <c r="A4" s="8" t="s">
        <v>11</v>
      </c>
      <c r="B4" s="1">
        <f>'Evolution RH en nombre'!B3</f>
        <v>1</v>
      </c>
      <c r="C4" s="1">
        <f>'Evolution RH en nombre'!C3+'Evolution RH en nombre'!B3</f>
        <v>1</v>
      </c>
      <c r="D4" s="1">
        <f>'Evolution RH en nombre'!D3+'Evolution RH en nombre'!C3+'Evolution RH en nombre'!B3</f>
        <v>1</v>
      </c>
      <c r="E4" s="1">
        <f>'Evolution RH en nombre'!E3+'Evolution RH en nombre'!D3+'Evolution RH en nombre'!C3+'Evolution RH en nombre'!B3</f>
        <v>1</v>
      </c>
      <c r="F4" s="1">
        <f>'Evolution RH en nombre'!F3+'Evolution RH en nombre'!E3+'Evolution RH en nombre'!D3+'Evolution RH en nombre'!C3+'Evolution RH en nombre'!B3</f>
        <v>1</v>
      </c>
      <c r="H4" s="1">
        <f>'Evolution RH en nombre'!I3</f>
        <v>4000</v>
      </c>
      <c r="I4" s="1">
        <f>'Evolution RH en nombre'!J3</f>
        <v>5400</v>
      </c>
    </row>
    <row r="5" spans="1:9" x14ac:dyDescent="0.2">
      <c r="A5" s="8" t="s">
        <v>12</v>
      </c>
      <c r="B5" s="1">
        <f>'Evolution RH en nombre'!B4</f>
        <v>1</v>
      </c>
      <c r="C5" s="1">
        <f>'Evolution RH en nombre'!C4+'Evolution RH en nombre'!B4</f>
        <v>1</v>
      </c>
      <c r="D5" s="1">
        <f>'Evolution RH en nombre'!D4+'Evolution RH en nombre'!C4+'Evolution RH en nombre'!B4</f>
        <v>1</v>
      </c>
      <c r="E5" s="1">
        <f>'Evolution RH en nombre'!E4+'Evolution RH en nombre'!D4+'Evolution RH en nombre'!C4+'Evolution RH en nombre'!B4</f>
        <v>1</v>
      </c>
      <c r="F5" s="1">
        <f>'Evolution RH en nombre'!F4+'Evolution RH en nombre'!E4+'Evolution RH en nombre'!D4+'Evolution RH en nombre'!C4+'Evolution RH en nombre'!B4</f>
        <v>1</v>
      </c>
      <c r="H5" s="1">
        <f>'Evolution RH en nombre'!I4</f>
        <v>800</v>
      </c>
      <c r="I5" s="1">
        <f>'Evolution RH en nombre'!J4</f>
        <v>1080</v>
      </c>
    </row>
    <row r="6" spans="1:9" x14ac:dyDescent="0.2">
      <c r="A6" s="8" t="s">
        <v>13</v>
      </c>
      <c r="B6" s="1">
        <f>'Evolution RH en nombre'!B5</f>
        <v>0</v>
      </c>
      <c r="C6" s="1">
        <f>'Evolution RH en nombre'!C5+'Evolution RH en nombre'!B5</f>
        <v>0</v>
      </c>
      <c r="D6" s="1">
        <f>'Evolution RH en nombre'!D5+'Evolution RH en nombre'!C5+'Evolution RH en nombre'!B5</f>
        <v>1</v>
      </c>
      <c r="E6" s="1">
        <f>'Evolution RH en nombre'!E5+'Evolution RH en nombre'!D5+'Evolution RH en nombre'!C5+'Evolution RH en nombre'!B5</f>
        <v>1</v>
      </c>
      <c r="F6" s="1">
        <f>'Evolution RH en nombre'!F5+'Evolution RH en nombre'!E5+'Evolution RH en nombre'!D5+'Evolution RH en nombre'!C5+'Evolution RH en nombre'!B5</f>
        <v>1</v>
      </c>
      <c r="H6" s="1">
        <f>'Evolution RH en nombre'!I5</f>
        <v>3000</v>
      </c>
      <c r="I6" s="1">
        <f>'Evolution RH en nombre'!J5</f>
        <v>4050.0000000000005</v>
      </c>
    </row>
    <row r="7" spans="1:9" x14ac:dyDescent="0.2">
      <c r="A7" s="8" t="s">
        <v>14</v>
      </c>
      <c r="B7" s="1">
        <f>'Evolution RH en nombre'!B6</f>
        <v>1</v>
      </c>
      <c r="C7" s="1">
        <f>'Evolution RH en nombre'!C6+'Evolution RH en nombre'!B6</f>
        <v>1</v>
      </c>
      <c r="D7" s="1">
        <f>'Evolution RH en nombre'!D6+'Evolution RH en nombre'!C6+'Evolution RH en nombre'!B6</f>
        <v>1</v>
      </c>
      <c r="E7" s="1">
        <f>'Evolution RH en nombre'!E6+'Evolution RH en nombre'!D6+'Evolution RH en nombre'!C6+'Evolution RH en nombre'!B6</f>
        <v>1</v>
      </c>
      <c r="F7" s="1">
        <f>'Evolution RH en nombre'!F6+'Evolution RH en nombre'!E6+'Evolution RH en nombre'!D6+'Evolution RH en nombre'!C6+'Evolution RH en nombre'!B6</f>
        <v>1</v>
      </c>
      <c r="H7" s="1">
        <f>'Evolution RH en nombre'!I6</f>
        <v>1700</v>
      </c>
      <c r="I7" s="1">
        <f>'Evolution RH en nombre'!J6</f>
        <v>2295</v>
      </c>
    </row>
    <row r="8" spans="1:9" x14ac:dyDescent="0.2">
      <c r="A8" s="31" t="s">
        <v>15</v>
      </c>
      <c r="B8" s="21">
        <f>SUM(B4:B7)</f>
        <v>3</v>
      </c>
      <c r="C8" s="21">
        <f>SUM(C4:C7)</f>
        <v>3</v>
      </c>
      <c r="D8" s="21">
        <f>SUM(D4:D7)</f>
        <v>4</v>
      </c>
      <c r="E8" s="21">
        <f>SUM(E4:E7)</f>
        <v>4</v>
      </c>
      <c r="F8" s="21">
        <f>SUM(F4:F7)</f>
        <v>4</v>
      </c>
      <c r="G8" s="21"/>
      <c r="H8" s="21"/>
      <c r="I8" s="21"/>
    </row>
    <row r="9" spans="1:9" x14ac:dyDescent="0.2">
      <c r="A9" s="8"/>
    </row>
    <row r="10" spans="1:9" x14ac:dyDescent="0.2">
      <c r="A10" s="31" t="s">
        <v>16</v>
      </c>
      <c r="B10" s="32"/>
      <c r="C10" s="32"/>
      <c r="D10" s="32"/>
      <c r="E10" s="32"/>
      <c r="F10" s="32"/>
      <c r="G10" s="32"/>
      <c r="H10" s="32"/>
      <c r="I10" s="32"/>
    </row>
    <row r="11" spans="1:9" ht="30" customHeight="1" x14ac:dyDescent="0.2">
      <c r="A11" s="216" t="s">
        <v>1</v>
      </c>
      <c r="B11" s="4" t="s">
        <v>2</v>
      </c>
      <c r="C11" s="4" t="s">
        <v>3</v>
      </c>
      <c r="D11" s="4" t="s">
        <v>4</v>
      </c>
      <c r="E11" s="4" t="s">
        <v>5</v>
      </c>
      <c r="F11" s="4" t="s">
        <v>6</v>
      </c>
      <c r="G11" s="4" t="s">
        <v>8</v>
      </c>
      <c r="H11" s="4" t="s">
        <v>9</v>
      </c>
      <c r="I11" s="4" t="s">
        <v>10</v>
      </c>
    </row>
    <row r="12" spans="1:9" ht="16" x14ac:dyDescent="0.2">
      <c r="A12" s="216"/>
      <c r="B12" s="4" t="s">
        <v>41</v>
      </c>
      <c r="C12" s="4" t="s">
        <v>41</v>
      </c>
      <c r="D12" s="4" t="s">
        <v>41</v>
      </c>
      <c r="E12" s="4" t="s">
        <v>41</v>
      </c>
      <c r="F12" s="4" t="s">
        <v>41</v>
      </c>
      <c r="G12" s="4"/>
      <c r="H12" s="4"/>
      <c r="I12" s="4"/>
    </row>
    <row r="13" spans="1:9" x14ac:dyDescent="0.2">
      <c r="A13" s="8" t="s">
        <v>17</v>
      </c>
      <c r="B13" s="1">
        <f>'Evolution RH en nombre'!B11</f>
        <v>1</v>
      </c>
      <c r="C13" s="23">
        <f>'Evolution RH en nombre'!C11+'Evolution RH en nombre'!B11</f>
        <v>1</v>
      </c>
      <c r="D13" s="23">
        <f>'Evolution RH en nombre'!D11+'Evolution RH en nombre'!C11+'Evolution RH en nombre'!B11</f>
        <v>1</v>
      </c>
      <c r="E13" s="23">
        <f>'Evolution RH en nombre'!E11+'Evolution RH en nombre'!D11+'Evolution RH en nombre'!C11+'Evolution RH en nombre'!B11</f>
        <v>1</v>
      </c>
      <c r="F13" s="23">
        <f>'Evolution RH en nombre'!F11+'Evolution RH en nombre'!E11+'Evolution RH en nombre'!D11+'Evolution RH en nombre'!C11+'Evolution RH en nombre'!B11</f>
        <v>1</v>
      </c>
      <c r="H13" s="1">
        <f>'Evolution RH en nombre'!I11</f>
        <v>1700</v>
      </c>
      <c r="I13" s="1">
        <f>'Evolution RH en nombre'!J11</f>
        <v>2295</v>
      </c>
    </row>
    <row r="14" spans="1:9" x14ac:dyDescent="0.2">
      <c r="A14" s="8" t="s">
        <v>18</v>
      </c>
      <c r="B14" s="1">
        <f>'Evolution RH en nombre'!B12</f>
        <v>0</v>
      </c>
      <c r="C14" s="23">
        <f>'Evolution RH en nombre'!C12+'Evolution RH en nombre'!B12</f>
        <v>0</v>
      </c>
      <c r="D14" s="23">
        <f>'Evolution RH en nombre'!D12+'Evolution RH en nombre'!C12+'Evolution RH en nombre'!B12</f>
        <v>1</v>
      </c>
      <c r="E14" s="23">
        <f>'Evolution RH en nombre'!E12+'Evolution RH en nombre'!D12+'Evolution RH en nombre'!C12+'Evolution RH en nombre'!B12</f>
        <v>1</v>
      </c>
      <c r="F14" s="23">
        <f>'Evolution RH en nombre'!F12+'Evolution RH en nombre'!E12+'Evolution RH en nombre'!D12+'Evolution RH en nombre'!C12+'Evolution RH en nombre'!B12</f>
        <v>1</v>
      </c>
      <c r="H14" s="1">
        <f>'Evolution RH en nombre'!I12</f>
        <v>1300</v>
      </c>
      <c r="I14" s="1">
        <f>'Evolution RH en nombre'!J12</f>
        <v>1755.0000000000002</v>
      </c>
    </row>
    <row r="15" spans="1:9" x14ac:dyDescent="0.2">
      <c r="A15" s="8" t="s">
        <v>19</v>
      </c>
      <c r="B15" s="1">
        <f>'Evolution RH en nombre'!B13</f>
        <v>0</v>
      </c>
      <c r="C15" s="23">
        <f>'Evolution RH en nombre'!C13+'Evolution RH en nombre'!B13</f>
        <v>0</v>
      </c>
      <c r="D15" s="23">
        <f>'Evolution RH en nombre'!D13+'Evolution RH en nombre'!C13+'Evolution RH en nombre'!B13</f>
        <v>1</v>
      </c>
      <c r="E15" s="23">
        <f>'Evolution RH en nombre'!E13+'Evolution RH en nombre'!D13+'Evolution RH en nombre'!C13+'Evolution RH en nombre'!B13</f>
        <v>1</v>
      </c>
      <c r="F15" s="23">
        <f>'Evolution RH en nombre'!F13+'Evolution RH en nombre'!E13+'Evolution RH en nombre'!D13+'Evolution RH en nombre'!C13+'Evolution RH en nombre'!B13</f>
        <v>1</v>
      </c>
      <c r="H15" s="1">
        <f>'Evolution RH en nombre'!I13</f>
        <v>1200</v>
      </c>
      <c r="I15" s="1">
        <f>'Evolution RH en nombre'!J13</f>
        <v>1620</v>
      </c>
    </row>
    <row r="16" spans="1:9" x14ac:dyDescent="0.2">
      <c r="A16" s="8" t="s">
        <v>20</v>
      </c>
      <c r="B16" s="1">
        <f>'Evolution RH en nombre'!B14</f>
        <v>2</v>
      </c>
      <c r="C16" s="23">
        <f>'Evolution RH en nombre'!C14+'Evolution RH en nombre'!B14</f>
        <v>2</v>
      </c>
      <c r="D16" s="23">
        <f>'Evolution RH en nombre'!D14+'Evolution RH en nombre'!C14+'Evolution RH en nombre'!B14</f>
        <v>2</v>
      </c>
      <c r="E16" s="23">
        <f>'Evolution RH en nombre'!E14+'Evolution RH en nombre'!D14+'Evolution RH en nombre'!C14+'Evolution RH en nombre'!B14</f>
        <v>2</v>
      </c>
      <c r="F16" s="23">
        <f>'Evolution RH en nombre'!F14+'Evolution RH en nombre'!E14+'Evolution RH en nombre'!D14+'Evolution RH en nombre'!C14+'Evolution RH en nombre'!B14</f>
        <v>2</v>
      </c>
      <c r="H16" s="1">
        <f>'Evolution RH en nombre'!I14</f>
        <v>1300</v>
      </c>
      <c r="I16" s="1">
        <f>'Evolution RH en nombre'!J14</f>
        <v>1755.0000000000002</v>
      </c>
    </row>
    <row r="17" spans="1:9" x14ac:dyDescent="0.2">
      <c r="A17" s="8" t="s">
        <v>21</v>
      </c>
      <c r="B17" s="1">
        <f>'Evolution RH en nombre'!B15</f>
        <v>5</v>
      </c>
      <c r="C17" s="23">
        <f>'Evolution RH en nombre'!C15+'Evolution RH en nombre'!B15</f>
        <v>5.75</v>
      </c>
      <c r="D17" s="23">
        <f>'Evolution RH en nombre'!D15+'Evolution RH en nombre'!C15+'Evolution RH en nombre'!B15</f>
        <v>6.6124999999999998</v>
      </c>
      <c r="E17" s="23">
        <f>'Evolution RH en nombre'!E15+'Evolution RH en nombre'!D15+'Evolution RH en nombre'!C15+'Evolution RH en nombre'!B15</f>
        <v>7.6043750000000001</v>
      </c>
      <c r="F17" s="23">
        <f>'Evolution RH en nombre'!F15+'Evolution RH en nombre'!E15+'Evolution RH en nombre'!D15+'Evolution RH en nombre'!C15+'Evolution RH en nombre'!B15</f>
        <v>8.7450312500000003</v>
      </c>
      <c r="H17" s="1">
        <f>'Evolution RH en nombre'!I15</f>
        <v>800</v>
      </c>
      <c r="I17" s="1">
        <f>'Evolution RH en nombre'!J15</f>
        <v>1080</v>
      </c>
    </row>
    <row r="18" spans="1:9" x14ac:dyDescent="0.2">
      <c r="A18" s="8" t="s">
        <v>22</v>
      </c>
      <c r="B18" s="1">
        <f>'Evolution RH en nombre'!B16</f>
        <v>3</v>
      </c>
      <c r="C18" s="23">
        <f>'Evolution RH en nombre'!C16+'Evolution RH en nombre'!B16</f>
        <v>3.45</v>
      </c>
      <c r="D18" s="23">
        <f>'Evolution RH en nombre'!D16+'Evolution RH en nombre'!C16+'Evolution RH en nombre'!B16</f>
        <v>3.9674999999999998</v>
      </c>
      <c r="E18" s="23">
        <f>'Evolution RH en nombre'!E16+'Evolution RH en nombre'!D16+'Evolution RH en nombre'!C16+'Evolution RH en nombre'!B16</f>
        <v>4.5626249999999997</v>
      </c>
      <c r="F18" s="23">
        <f>'Evolution RH en nombre'!F16+'Evolution RH en nombre'!E16+'Evolution RH en nombre'!D16+'Evolution RH en nombre'!C16+'Evolution RH en nombre'!B16</f>
        <v>5.2470187499999996</v>
      </c>
      <c r="H18" s="1">
        <f>'Evolution RH en nombre'!I16</f>
        <v>800</v>
      </c>
      <c r="I18" s="1">
        <f>'Evolution RH en nombre'!J16</f>
        <v>1080</v>
      </c>
    </row>
    <row r="19" spans="1:9" x14ac:dyDescent="0.2">
      <c r="A19" s="8" t="s">
        <v>23</v>
      </c>
      <c r="B19" s="1">
        <f>'Evolution RH en nombre'!B17</f>
        <v>1</v>
      </c>
      <c r="C19" s="23">
        <f>'Evolution RH en nombre'!C17+'Evolution RH en nombre'!B17</f>
        <v>1.1499999999999999</v>
      </c>
      <c r="D19" s="23">
        <f>'Evolution RH en nombre'!D17+'Evolution RH en nombre'!C17+'Evolution RH en nombre'!B17</f>
        <v>1.3225</v>
      </c>
      <c r="E19" s="23">
        <f>'Evolution RH en nombre'!E17+'Evolution RH en nombre'!D17+'Evolution RH en nombre'!C17+'Evolution RH en nombre'!B17</f>
        <v>1.520875</v>
      </c>
      <c r="F19" s="23">
        <f>'Evolution RH en nombre'!F17+'Evolution RH en nombre'!E17+'Evolution RH en nombre'!D17+'Evolution RH en nombre'!C17+'Evolution RH en nombre'!B17</f>
        <v>1.7490062499999999</v>
      </c>
      <c r="H19" s="1">
        <f>'Evolution RH en nombre'!I17</f>
        <v>800</v>
      </c>
      <c r="I19" s="1">
        <f>'Evolution RH en nombre'!J17</f>
        <v>1080</v>
      </c>
    </row>
    <row r="20" spans="1:9" x14ac:dyDescent="0.2">
      <c r="A20" s="8" t="s">
        <v>24</v>
      </c>
      <c r="B20" s="1">
        <f>'Evolution RH en nombre'!B18</f>
        <v>0</v>
      </c>
      <c r="C20" s="23">
        <f>'Evolution RH en nombre'!C18+'Evolution RH en nombre'!B18</f>
        <v>0</v>
      </c>
      <c r="D20" s="23">
        <f>'Evolution RH en nombre'!D18+'Evolution RH en nombre'!C18+'Evolution RH en nombre'!B18</f>
        <v>1</v>
      </c>
      <c r="E20" s="23">
        <f>'Evolution RH en nombre'!E18+'Evolution RH en nombre'!D18+'Evolution RH en nombre'!C18+'Evolution RH en nombre'!B18</f>
        <v>1</v>
      </c>
      <c r="F20" s="23">
        <f>'Evolution RH en nombre'!F18+'Evolution RH en nombre'!E18+'Evolution RH en nombre'!D18+'Evolution RH en nombre'!C18+'Evolution RH en nombre'!B18</f>
        <v>1</v>
      </c>
      <c r="H20" s="1">
        <f>'Evolution RH en nombre'!I18</f>
        <v>950</v>
      </c>
      <c r="I20" s="1">
        <f>'Evolution RH en nombre'!J18</f>
        <v>1282.5</v>
      </c>
    </row>
    <row r="21" spans="1:9" x14ac:dyDescent="0.2">
      <c r="A21" s="8" t="s">
        <v>25</v>
      </c>
      <c r="B21" s="1">
        <f>'Evolution RH en nombre'!B19</f>
        <v>2</v>
      </c>
      <c r="C21" s="23">
        <f>'Evolution RH en nombre'!C19+'Evolution RH en nombre'!B19</f>
        <v>5</v>
      </c>
      <c r="D21" s="23">
        <f>'Evolution RH en nombre'!D19+'Evolution RH en nombre'!C19+'Evolution RH en nombre'!B19</f>
        <v>7</v>
      </c>
      <c r="E21" s="23">
        <f>'Evolution RH en nombre'!E19+'Evolution RH en nombre'!D19+'Evolution RH en nombre'!C19+'Evolution RH en nombre'!B19</f>
        <v>7</v>
      </c>
      <c r="F21" s="23">
        <f>'Evolution RH en nombre'!F19+'Evolution RH en nombre'!E19+'Evolution RH en nombre'!D19+'Evolution RH en nombre'!C19+'Evolution RH en nombre'!B19</f>
        <v>7</v>
      </c>
      <c r="H21" s="1">
        <f>'Evolution RH en nombre'!I19</f>
        <v>600</v>
      </c>
      <c r="I21" s="1">
        <f>'Evolution RH en nombre'!J19</f>
        <v>810</v>
      </c>
    </row>
    <row r="22" spans="1:9" x14ac:dyDescent="0.2">
      <c r="A22" s="8" t="s">
        <v>26</v>
      </c>
      <c r="B22" s="1">
        <f>'Evolution RH en nombre'!B20</f>
        <v>1</v>
      </c>
      <c r="C22" s="23">
        <f>'Evolution RH en nombre'!C20+'Evolution RH en nombre'!B20</f>
        <v>1</v>
      </c>
      <c r="D22" s="23">
        <f>'Evolution RH en nombre'!D20+'Evolution RH en nombre'!C20+'Evolution RH en nombre'!B20</f>
        <v>1</v>
      </c>
      <c r="E22" s="23">
        <f>'Evolution RH en nombre'!E20+'Evolution RH en nombre'!D20+'Evolution RH en nombre'!C20+'Evolution RH en nombre'!B20</f>
        <v>1</v>
      </c>
      <c r="F22" s="23">
        <f>'Evolution RH en nombre'!F20+'Evolution RH en nombre'!E20+'Evolution RH en nombre'!D20+'Evolution RH en nombre'!C20+'Evolution RH en nombre'!B20</f>
        <v>1</v>
      </c>
      <c r="H22" s="1">
        <f>'Evolution RH en nombre'!I20</f>
        <v>1500</v>
      </c>
      <c r="I22" s="1">
        <f>'Evolution RH en nombre'!J20</f>
        <v>2025.0000000000002</v>
      </c>
    </row>
    <row r="23" spans="1:9" x14ac:dyDescent="0.2">
      <c r="A23" s="8" t="s">
        <v>27</v>
      </c>
      <c r="B23" s="1">
        <f>'Evolution RH en nombre'!B21</f>
        <v>0</v>
      </c>
      <c r="C23" s="23">
        <f>'Evolution RH en nombre'!C21+'Evolution RH en nombre'!B21</f>
        <v>0</v>
      </c>
      <c r="D23" s="23">
        <f>'Evolution RH en nombre'!D21+'Evolution RH en nombre'!C21+'Evolution RH en nombre'!B21</f>
        <v>1</v>
      </c>
      <c r="E23" s="23">
        <f>'Evolution RH en nombre'!E21+'Evolution RH en nombre'!D21+'Evolution RH en nombre'!C21+'Evolution RH en nombre'!B21</f>
        <v>1</v>
      </c>
      <c r="F23" s="23">
        <f>'Evolution RH en nombre'!F21+'Evolution RH en nombre'!E21+'Evolution RH en nombre'!D21+'Evolution RH en nombre'!C21+'Evolution RH en nombre'!B21</f>
        <v>1</v>
      </c>
      <c r="H23" s="1">
        <f>'Evolution RH en nombre'!I21</f>
        <v>1300</v>
      </c>
      <c r="I23" s="1">
        <f>'Evolution RH en nombre'!J21</f>
        <v>1755.0000000000002</v>
      </c>
    </row>
    <row r="24" spans="1:9" x14ac:dyDescent="0.2">
      <c r="A24" s="8" t="s">
        <v>28</v>
      </c>
      <c r="B24" s="1">
        <f>'Evolution RH en nombre'!B22</f>
        <v>0</v>
      </c>
      <c r="C24" s="23">
        <f>'Evolution RH en nombre'!C22+'Evolution RH en nombre'!B22</f>
        <v>0</v>
      </c>
      <c r="D24" s="23">
        <f>'Evolution RH en nombre'!D22+'Evolution RH en nombre'!C22+'Evolution RH en nombre'!B22</f>
        <v>1</v>
      </c>
      <c r="E24" s="23">
        <f>'Evolution RH en nombre'!E22+'Evolution RH en nombre'!D22+'Evolution RH en nombre'!C22+'Evolution RH en nombre'!B22</f>
        <v>1</v>
      </c>
      <c r="F24" s="23">
        <f>'Evolution RH en nombre'!F22+'Evolution RH en nombre'!E22+'Evolution RH en nombre'!D22+'Evolution RH en nombre'!C22+'Evolution RH en nombre'!B22</f>
        <v>1</v>
      </c>
      <c r="H24" s="1">
        <f>'Evolution RH en nombre'!I22</f>
        <v>1300</v>
      </c>
      <c r="I24" s="1">
        <f>'Evolution RH en nombre'!J22</f>
        <v>1755.0000000000002</v>
      </c>
    </row>
    <row r="25" spans="1:9" x14ac:dyDescent="0.2">
      <c r="A25" s="31" t="s">
        <v>15</v>
      </c>
      <c r="B25" s="25">
        <f>SUM(B13:B24)</f>
        <v>15</v>
      </c>
      <c r="C25" s="25">
        <f>SUM(C13:C24)</f>
        <v>19.350000000000001</v>
      </c>
      <c r="D25" s="25">
        <f>SUM(D13:D24)</f>
        <v>27.9025</v>
      </c>
      <c r="E25" s="25">
        <f>SUM(E13:E24)</f>
        <v>29.687875000000002</v>
      </c>
      <c r="F25" s="25">
        <f>SUM(F13:F24)</f>
        <v>31.74105625</v>
      </c>
      <c r="G25" s="21"/>
      <c r="H25" s="21"/>
      <c r="I25" s="21"/>
    </row>
    <row r="26" spans="1:9" x14ac:dyDescent="0.2">
      <c r="A26" s="8"/>
    </row>
    <row r="27" spans="1:9" x14ac:dyDescent="0.2">
      <c r="A27" s="31" t="s">
        <v>29</v>
      </c>
      <c r="B27" s="32"/>
      <c r="C27" s="32"/>
      <c r="D27" s="32"/>
      <c r="E27" s="32"/>
      <c r="F27" s="32"/>
      <c r="G27" s="32"/>
      <c r="H27" s="32"/>
      <c r="I27" s="32"/>
    </row>
    <row r="28" spans="1:9" ht="30" customHeight="1" x14ac:dyDescent="0.2">
      <c r="A28" s="216" t="s">
        <v>1</v>
      </c>
      <c r="B28" s="4" t="s">
        <v>2</v>
      </c>
      <c r="C28" s="4" t="s">
        <v>3</v>
      </c>
      <c r="D28" s="4" t="s">
        <v>4</v>
      </c>
      <c r="E28" s="4" t="s">
        <v>5</v>
      </c>
      <c r="F28" s="4" t="s">
        <v>6</v>
      </c>
      <c r="G28" s="4" t="s">
        <v>8</v>
      </c>
      <c r="H28" s="4" t="s">
        <v>9</v>
      </c>
      <c r="I28" s="4" t="s">
        <v>10</v>
      </c>
    </row>
    <row r="29" spans="1:9" ht="16" x14ac:dyDescent="0.2">
      <c r="A29" s="216"/>
      <c r="B29" s="4" t="s">
        <v>41</v>
      </c>
      <c r="C29" s="4" t="s">
        <v>41</v>
      </c>
      <c r="D29" s="4" t="s">
        <v>41</v>
      </c>
      <c r="E29" s="4" t="s">
        <v>41</v>
      </c>
      <c r="F29" s="4" t="s">
        <v>41</v>
      </c>
      <c r="G29" s="4"/>
      <c r="H29" s="4"/>
      <c r="I29" s="4"/>
    </row>
    <row r="30" spans="1:9" x14ac:dyDescent="0.2">
      <c r="A30" s="8" t="s">
        <v>30</v>
      </c>
      <c r="B30" s="1">
        <f>'Evolution RH en nombre'!B27</f>
        <v>1</v>
      </c>
      <c r="C30" s="1">
        <f>'Evolution RH en nombre'!C27+'Evolution RH en nombre'!B27</f>
        <v>1</v>
      </c>
      <c r="D30" s="1">
        <f>'Evolution RH en nombre'!D27+'Evolution RH en nombre'!C27+'Evolution RH en nombre'!B27</f>
        <v>1</v>
      </c>
      <c r="E30" s="1">
        <f>'Evolution RH en nombre'!E27+'Evolution RH en nombre'!D27+'Evolution RH en nombre'!C27+'Evolution RH en nombre'!B27</f>
        <v>1</v>
      </c>
      <c r="F30" s="1">
        <f>'Evolution RH en nombre'!F27+'Evolution RH en nombre'!E27+'Evolution RH en nombre'!D27+'Evolution RH en nombre'!C27+'Evolution RH en nombre'!B27</f>
        <v>1</v>
      </c>
      <c r="H30" s="1">
        <f>'Evolution RH en nombre'!I27</f>
        <v>1500</v>
      </c>
      <c r="I30" s="1">
        <f>'Evolution RH en nombre'!J27</f>
        <v>2025.0000000000002</v>
      </c>
    </row>
    <row r="31" spans="1:9" x14ac:dyDescent="0.2">
      <c r="A31" s="8" t="s">
        <v>31</v>
      </c>
      <c r="B31" s="1">
        <f>'Evolution RH en nombre'!B28</f>
        <v>0</v>
      </c>
      <c r="C31" s="1">
        <f>'Evolution RH en nombre'!C28+'Evolution RH en nombre'!B28</f>
        <v>0</v>
      </c>
      <c r="D31" s="1">
        <f>'Evolution RH en nombre'!D28+'Evolution RH en nombre'!C28+'Evolution RH en nombre'!B28</f>
        <v>1</v>
      </c>
      <c r="E31" s="1">
        <f>'Evolution RH en nombre'!E28+'Evolution RH en nombre'!D28+'Evolution RH en nombre'!C28+'Evolution RH en nombre'!B28</f>
        <v>1</v>
      </c>
      <c r="F31" s="1">
        <f>'Evolution RH en nombre'!F28+'Evolution RH en nombre'!E28+'Evolution RH en nombre'!D28+'Evolution RH en nombre'!C28+'Evolution RH en nombre'!B28</f>
        <v>1</v>
      </c>
      <c r="H31" s="1">
        <f>'Evolution RH en nombre'!I28</f>
        <v>750</v>
      </c>
      <c r="I31" s="1">
        <f>'Evolution RH en nombre'!J28</f>
        <v>1012.5000000000001</v>
      </c>
    </row>
    <row r="32" spans="1:9" x14ac:dyDescent="0.2">
      <c r="A32" s="8" t="s">
        <v>32</v>
      </c>
      <c r="B32" s="1">
        <f>'Evolution RH en nombre'!B29</f>
        <v>0</v>
      </c>
      <c r="C32" s="1">
        <f>'Evolution RH en nombre'!C29+'Evolution RH en nombre'!B29</f>
        <v>1</v>
      </c>
      <c r="D32" s="1">
        <f>'Evolution RH en nombre'!D29+'Evolution RH en nombre'!C29+'Evolution RH en nombre'!B29</f>
        <v>1</v>
      </c>
      <c r="E32" s="1">
        <f>'Evolution RH en nombre'!E29+'Evolution RH en nombre'!D29+'Evolution RH en nombre'!C29+'Evolution RH en nombre'!B29</f>
        <v>1</v>
      </c>
      <c r="F32" s="1">
        <f>'Evolution RH en nombre'!F29+'Evolution RH en nombre'!E29+'Evolution RH en nombre'!D29+'Evolution RH en nombre'!C29+'Evolution RH en nombre'!B29</f>
        <v>1</v>
      </c>
      <c r="H32" s="1">
        <f>'Evolution RH en nombre'!I29</f>
        <v>750</v>
      </c>
      <c r="I32" s="1">
        <f>'Evolution RH en nombre'!J29</f>
        <v>1012.5000000000001</v>
      </c>
    </row>
    <row r="33" spans="1:9" x14ac:dyDescent="0.2">
      <c r="A33" s="8" t="s">
        <v>33</v>
      </c>
      <c r="B33" s="1">
        <f>'Evolution RH en nombre'!B30</f>
        <v>1</v>
      </c>
      <c r="C33" s="1">
        <f>'Evolution RH en nombre'!C30+'Evolution RH en nombre'!B30</f>
        <v>1</v>
      </c>
      <c r="D33" s="1">
        <f>'Evolution RH en nombre'!D30+'Evolution RH en nombre'!C30+'Evolution RH en nombre'!B30</f>
        <v>1</v>
      </c>
      <c r="E33" s="1">
        <f>'Evolution RH en nombre'!E30+'Evolution RH en nombre'!D30+'Evolution RH en nombre'!C30+'Evolution RH en nombre'!B30</f>
        <v>1</v>
      </c>
      <c r="F33" s="1">
        <f>'Evolution RH en nombre'!F30+'Evolution RH en nombre'!E30+'Evolution RH en nombre'!D30+'Evolution RH en nombre'!C30+'Evolution RH en nombre'!B30</f>
        <v>1</v>
      </c>
      <c r="H33" s="1">
        <f>'Evolution RH en nombre'!I30</f>
        <v>450</v>
      </c>
      <c r="I33" s="1">
        <f>'Evolution RH en nombre'!J30</f>
        <v>607.5</v>
      </c>
    </row>
    <row r="34" spans="1:9" x14ac:dyDescent="0.2">
      <c r="A34" s="31" t="s">
        <v>15</v>
      </c>
      <c r="B34" s="21">
        <f>SUM(B30:B33)</f>
        <v>2</v>
      </c>
      <c r="C34" s="21">
        <f>SUM(C30:C33)</f>
        <v>3</v>
      </c>
      <c r="D34" s="21">
        <f>SUM(D30:D33)</f>
        <v>4</v>
      </c>
      <c r="E34" s="21">
        <f>SUM(E30:E33)</f>
        <v>4</v>
      </c>
      <c r="F34" s="21">
        <f>SUM(F30:F33)</f>
        <v>4</v>
      </c>
      <c r="G34" s="21"/>
      <c r="H34" s="21"/>
      <c r="I34" s="21"/>
    </row>
    <row r="35" spans="1:9" x14ac:dyDescent="0.2">
      <c r="A35" s="8"/>
    </row>
    <row r="36" spans="1:9" x14ac:dyDescent="0.2">
      <c r="A36" s="31" t="s">
        <v>34</v>
      </c>
      <c r="B36" s="32"/>
      <c r="C36" s="32"/>
      <c r="D36" s="32"/>
      <c r="E36" s="32"/>
      <c r="F36" s="32"/>
      <c r="G36" s="32"/>
      <c r="H36" s="32"/>
      <c r="I36" s="32"/>
    </row>
    <row r="37" spans="1:9" ht="30" customHeight="1" x14ac:dyDescent="0.2">
      <c r="A37" s="216" t="s">
        <v>1</v>
      </c>
      <c r="B37" s="4" t="s">
        <v>2</v>
      </c>
      <c r="C37" s="4" t="s">
        <v>3</v>
      </c>
      <c r="D37" s="4" t="s">
        <v>4</v>
      </c>
      <c r="E37" s="4" t="s">
        <v>5</v>
      </c>
      <c r="F37" s="4" t="s">
        <v>6</v>
      </c>
      <c r="G37" s="4" t="s">
        <v>8</v>
      </c>
      <c r="H37" s="4" t="s">
        <v>9</v>
      </c>
      <c r="I37" s="4" t="s">
        <v>10</v>
      </c>
    </row>
    <row r="38" spans="1:9" ht="16" x14ac:dyDescent="0.2">
      <c r="A38" s="216"/>
      <c r="B38" s="4" t="s">
        <v>41</v>
      </c>
      <c r="C38" s="4" t="s">
        <v>41</v>
      </c>
      <c r="D38" s="4" t="s">
        <v>41</v>
      </c>
      <c r="E38" s="4" t="s">
        <v>41</v>
      </c>
      <c r="F38" s="4" t="s">
        <v>41</v>
      </c>
      <c r="G38" s="4"/>
      <c r="H38" s="4"/>
      <c r="I38" s="4"/>
    </row>
    <row r="39" spans="1:9" x14ac:dyDescent="0.2">
      <c r="A39" s="8" t="s">
        <v>35</v>
      </c>
      <c r="B39" s="16">
        <f>'Evolution RH en nombre'!B35</f>
        <v>1</v>
      </c>
      <c r="C39" s="16">
        <f>B39+'Evolution RH en nombre'!C35</f>
        <v>1</v>
      </c>
      <c r="D39" s="16">
        <f>'Evolution RH en nombre'!D35+'Budget RH en nombre TTC'!D39</f>
        <v>1</v>
      </c>
      <c r="E39" s="16">
        <f>D39+'Evolution RH en nombre'!E35</f>
        <v>1</v>
      </c>
      <c r="F39" s="16">
        <f>E39+'Evolution RH en nombre'!F35</f>
        <v>1</v>
      </c>
      <c r="G39" s="16"/>
      <c r="H39" s="16">
        <f>'Evolution RH en nombre'!I35</f>
        <v>1500</v>
      </c>
      <c r="I39" s="26">
        <f>'Evolution RH en nombre'!J35</f>
        <v>2025.0000000000002</v>
      </c>
    </row>
    <row r="40" spans="1:9" x14ac:dyDescent="0.2">
      <c r="A40" s="8" t="s">
        <v>36</v>
      </c>
      <c r="B40" s="1">
        <f>'Evolution RH en nombre'!B36</f>
        <v>0</v>
      </c>
      <c r="C40" s="1">
        <f>'Evolution RH en nombre'!C36+'Evolution RH en nombre'!B36</f>
        <v>1</v>
      </c>
      <c r="D40" s="1">
        <f>'Evolution RH en nombre'!D36+'Evolution RH en nombre'!C36+'Evolution RH en nombre'!B36</f>
        <v>1</v>
      </c>
      <c r="E40" s="1">
        <f>'Evolution RH en nombre'!E36+'Evolution RH en nombre'!D36+'Evolution RH en nombre'!C36+'Evolution RH en nombre'!B36</f>
        <v>1</v>
      </c>
      <c r="F40" s="1">
        <f>'Evolution RH en nombre'!F36+'Evolution RH en nombre'!E36+'Evolution RH en nombre'!D36+'Evolution RH en nombre'!C36+'Evolution RH en nombre'!B36</f>
        <v>1</v>
      </c>
      <c r="G40" s="27">
        <v>0.03</v>
      </c>
      <c r="H40" s="1">
        <f>'Evolution RH en nombre'!I36</f>
        <v>1200</v>
      </c>
      <c r="I40" s="1">
        <f>'Evolution RH en nombre'!J36</f>
        <v>1620</v>
      </c>
    </row>
    <row r="41" spans="1:9" x14ac:dyDescent="0.2">
      <c r="A41" s="8" t="s">
        <v>37</v>
      </c>
      <c r="B41" s="1">
        <f>'Evolution RH en nombre'!B37</f>
        <v>0</v>
      </c>
      <c r="C41" s="1">
        <f>'Evolution RH en nombre'!C37+'Evolution RH en nombre'!B37</f>
        <v>0</v>
      </c>
      <c r="D41" s="1">
        <f>'Evolution RH en nombre'!D37+'Evolution RH en nombre'!C37+'Evolution RH en nombre'!B37</f>
        <v>1</v>
      </c>
      <c r="E41" s="1">
        <f>'Evolution RH en nombre'!E37+'Evolution RH en nombre'!D37+'Evolution RH en nombre'!C37+'Evolution RH en nombre'!B37</f>
        <v>1</v>
      </c>
      <c r="F41" s="1">
        <f>'Evolution RH en nombre'!F37+'Evolution RH en nombre'!E37+'Evolution RH en nombre'!D37+'Evolution RH en nombre'!C37+'Evolution RH en nombre'!B37</f>
        <v>1</v>
      </c>
      <c r="H41" s="1">
        <f>'Evolution RH en nombre'!I37</f>
        <v>1000</v>
      </c>
      <c r="I41" s="1">
        <f>'Evolution RH en nombre'!J37</f>
        <v>1350</v>
      </c>
    </row>
    <row r="42" spans="1:9" x14ac:dyDescent="0.2">
      <c r="A42" s="8" t="s">
        <v>38</v>
      </c>
      <c r="B42" s="1">
        <f>'Evolution RH en nombre'!B38</f>
        <v>1</v>
      </c>
      <c r="C42" s="1">
        <f>'Evolution RH en nombre'!C38+'Evolution RH en nombre'!B38</f>
        <v>1</v>
      </c>
      <c r="D42" s="1">
        <f>'Evolution RH en nombre'!D38+'Evolution RH en nombre'!C38+'Evolution RH en nombre'!B38</f>
        <v>1</v>
      </c>
      <c r="E42" s="1">
        <f>'Evolution RH en nombre'!E38+'Evolution RH en nombre'!D38+'Evolution RH en nombre'!C38+'Evolution RH en nombre'!B38</f>
        <v>1</v>
      </c>
      <c r="F42" s="1">
        <f>'Evolution RH en nombre'!F38+'Evolution RH en nombre'!E38+'Evolution RH en nombre'!D38+'Evolution RH en nombre'!C38+'Evolution RH en nombre'!B38</f>
        <v>1</v>
      </c>
      <c r="H42" s="1">
        <f>'Evolution RH en nombre'!I38</f>
        <v>750</v>
      </c>
      <c r="I42" s="1">
        <f>'Evolution RH en nombre'!J38</f>
        <v>1012.5000000000001</v>
      </c>
    </row>
    <row r="43" spans="1:9" x14ac:dyDescent="0.2">
      <c r="A43" s="8" t="s">
        <v>39</v>
      </c>
      <c r="B43" s="1">
        <f>'Evolution RH en nombre'!B39</f>
        <v>0</v>
      </c>
      <c r="C43" s="1">
        <f>'Evolution RH en nombre'!C39+'Evolution RH en nombre'!B39</f>
        <v>1</v>
      </c>
      <c r="D43" s="1">
        <f>'Evolution RH en nombre'!D39+'Evolution RH en nombre'!C39+'Evolution RH en nombre'!B39</f>
        <v>1</v>
      </c>
      <c r="E43" s="1">
        <f>'Evolution RH en nombre'!E39+'Evolution RH en nombre'!D39+'Evolution RH en nombre'!C39+'Evolution RH en nombre'!B39</f>
        <v>1</v>
      </c>
      <c r="F43" s="1">
        <f>'Evolution RH en nombre'!F39+'Evolution RH en nombre'!E39+'Evolution RH en nombre'!D39+'Evolution RH en nombre'!C39+'Evolution RH en nombre'!B39</f>
        <v>1</v>
      </c>
      <c r="H43" s="1">
        <f>'Evolution RH en nombre'!I39</f>
        <v>700</v>
      </c>
      <c r="I43" s="1">
        <f>'Evolution RH en nombre'!J39</f>
        <v>945.00000000000011</v>
      </c>
    </row>
    <row r="44" spans="1:9" x14ac:dyDescent="0.2">
      <c r="A44" s="31" t="s">
        <v>15</v>
      </c>
      <c r="B44" s="21">
        <f>SUM(B39:B43)</f>
        <v>2</v>
      </c>
      <c r="C44" s="21">
        <f>SUM(C39:C43)</f>
        <v>4</v>
      </c>
      <c r="D44" s="21">
        <f>SUM(D39:D43)</f>
        <v>5</v>
      </c>
      <c r="E44" s="21">
        <f>SUM(E39:E43)</f>
        <v>5</v>
      </c>
      <c r="F44" s="21">
        <f>SUM(F39:F43)</f>
        <v>5</v>
      </c>
      <c r="G44" s="21"/>
      <c r="H44" s="21"/>
      <c r="I44" s="21"/>
    </row>
    <row r="46" spans="1:9" x14ac:dyDescent="0.2">
      <c r="A46" s="31" t="s">
        <v>58</v>
      </c>
      <c r="B46" s="32"/>
      <c r="C46" s="32"/>
      <c r="D46" s="32"/>
      <c r="E46" s="32"/>
      <c r="F46" s="32"/>
      <c r="G46" s="32"/>
      <c r="H46" s="32"/>
      <c r="I46" s="32"/>
    </row>
    <row r="47" spans="1:9" ht="16" x14ac:dyDescent="0.2">
      <c r="A47" s="4" t="s">
        <v>15</v>
      </c>
      <c r="B47" s="4" t="s">
        <v>2</v>
      </c>
      <c r="C47" s="4" t="s">
        <v>3</v>
      </c>
      <c r="D47" s="4" t="s">
        <v>4</v>
      </c>
      <c r="E47" s="4" t="s">
        <v>5</v>
      </c>
      <c r="F47" s="4" t="s">
        <v>6</v>
      </c>
      <c r="G47" s="4"/>
      <c r="H47" s="4"/>
      <c r="I47" s="4"/>
    </row>
    <row r="48" spans="1:9" x14ac:dyDescent="0.2">
      <c r="A48" s="33"/>
      <c r="B48" s="34" t="s">
        <v>59</v>
      </c>
      <c r="C48" s="34" t="s">
        <v>59</v>
      </c>
      <c r="D48" s="34" t="s">
        <v>59</v>
      </c>
      <c r="E48" s="34" t="s">
        <v>59</v>
      </c>
      <c r="F48" s="34" t="s">
        <v>59</v>
      </c>
      <c r="G48" s="35"/>
      <c r="H48" s="16"/>
      <c r="I48" s="16"/>
    </row>
    <row r="49" spans="1:9" x14ac:dyDescent="0.2">
      <c r="A49" s="36" t="s">
        <v>65</v>
      </c>
      <c r="B49" s="16">
        <f>B8+B25+B34+B44</f>
        <v>22</v>
      </c>
      <c r="C49" s="26">
        <f>C8+C25+C34+C44</f>
        <v>29.35</v>
      </c>
      <c r="D49" s="26">
        <f>D8+D25+D34+D44</f>
        <v>40.902500000000003</v>
      </c>
      <c r="E49" s="26">
        <f>E8+E25+E34+E44</f>
        <v>42.687875000000005</v>
      </c>
      <c r="F49" s="26">
        <f>F8+F25+F34+F44</f>
        <v>44.74105625</v>
      </c>
      <c r="G49" s="35"/>
      <c r="H49" s="16"/>
      <c r="I49" s="16"/>
    </row>
    <row r="50" spans="1:9" x14ac:dyDescent="0.2">
      <c r="A50" s="36" t="s">
        <v>62</v>
      </c>
      <c r="B50" s="35"/>
      <c r="C50" s="35"/>
      <c r="D50" s="35"/>
      <c r="E50" s="35"/>
      <c r="F50" s="35"/>
      <c r="G50" s="35"/>
      <c r="H50" s="16"/>
      <c r="I50" s="16"/>
    </row>
    <row r="51" spans="1:9" x14ac:dyDescent="0.2">
      <c r="A51" s="37" t="s">
        <v>63</v>
      </c>
      <c r="B51" s="35"/>
      <c r="C51" s="35"/>
      <c r="D51" s="35"/>
      <c r="E51" s="35"/>
      <c r="F51" s="35"/>
      <c r="G51" s="35"/>
      <c r="H51" s="16"/>
      <c r="I51" s="16"/>
    </row>
    <row r="52" spans="1:9" x14ac:dyDescent="0.2">
      <c r="A52" s="37" t="s">
        <v>64</v>
      </c>
      <c r="B52" s="35"/>
      <c r="C52" s="35"/>
      <c r="D52" s="35"/>
      <c r="E52" s="35"/>
      <c r="F52" s="35"/>
      <c r="G52" s="35"/>
      <c r="H52" s="16"/>
      <c r="I52" s="16"/>
    </row>
  </sheetData>
  <mergeCells count="5">
    <mergeCell ref="A1:I1"/>
    <mergeCell ref="A2:A3"/>
    <mergeCell ref="A11:A12"/>
    <mergeCell ref="A28:A29"/>
    <mergeCell ref="A37:A38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K101"/>
  <sheetViews>
    <sheetView topLeftCell="A25" zoomScale="208" zoomScaleNormal="100" workbookViewId="0">
      <selection activeCell="D36" sqref="D36"/>
    </sheetView>
  </sheetViews>
  <sheetFormatPr baseColWidth="10" defaultColWidth="8.83203125" defaultRowHeight="15" x14ac:dyDescent="0.2"/>
  <cols>
    <col min="1" max="1" width="8.33203125" style="35" customWidth="1"/>
    <col min="2" max="2" width="45.1640625" style="35" customWidth="1"/>
    <col min="3" max="3" width="11.5" style="16"/>
    <col min="4" max="4" width="11.5" style="35"/>
    <col min="5" max="5" width="11.5" style="38"/>
    <col min="6" max="8" width="11.5" style="35"/>
    <col min="9" max="9" width="11.5" style="16"/>
    <col min="10" max="10" width="17.1640625" style="16" customWidth="1"/>
    <col min="11" max="13" width="11.5" style="16"/>
    <col min="14" max="1025" width="11.5" style="35"/>
  </cols>
  <sheetData>
    <row r="1" spans="2:11" ht="15" customHeight="1" x14ac:dyDescent="0.2">
      <c r="C1" s="219" t="s">
        <v>66</v>
      </c>
      <c r="D1" s="219"/>
      <c r="E1" s="219"/>
      <c r="F1" s="219"/>
      <c r="G1" s="219"/>
    </row>
    <row r="2" spans="2:11" x14ac:dyDescent="0.2">
      <c r="C2" s="219"/>
      <c r="D2" s="219"/>
      <c r="E2" s="219"/>
      <c r="F2" s="219"/>
      <c r="G2" s="219"/>
    </row>
    <row r="3" spans="2:11" ht="25.5" customHeight="1" x14ac:dyDescent="0.2">
      <c r="I3" s="220"/>
      <c r="J3" s="220"/>
      <c r="K3" s="220"/>
    </row>
    <row r="4" spans="2:11" ht="28" x14ac:dyDescent="0.2">
      <c r="B4" s="39" t="s">
        <v>67</v>
      </c>
      <c r="C4" s="39" t="s">
        <v>68</v>
      </c>
      <c r="D4" s="39" t="s">
        <v>69</v>
      </c>
      <c r="E4" s="40" t="s">
        <v>70</v>
      </c>
      <c r="F4" s="39" t="s">
        <v>71</v>
      </c>
      <c r="G4" s="39" t="s">
        <v>72</v>
      </c>
      <c r="H4" s="39" t="s">
        <v>73</v>
      </c>
    </row>
    <row r="5" spans="2:11" x14ac:dyDescent="0.2">
      <c r="B5" s="41" t="s">
        <v>358</v>
      </c>
      <c r="C5" s="42">
        <v>2</v>
      </c>
      <c r="D5" s="42">
        <v>5000</v>
      </c>
      <c r="E5" s="43">
        <f>D5/C5</f>
        <v>2500</v>
      </c>
      <c r="F5" s="14"/>
      <c r="G5" s="14"/>
      <c r="H5" s="14"/>
    </row>
    <row r="6" spans="2:11" x14ac:dyDescent="0.2">
      <c r="B6" s="41" t="s">
        <v>75</v>
      </c>
      <c r="C6" s="42">
        <v>5</v>
      </c>
      <c r="D6" s="42">
        <v>500000</v>
      </c>
      <c r="E6" s="43">
        <f>D6/C6</f>
        <v>100000</v>
      </c>
      <c r="F6" s="14"/>
      <c r="G6" s="14"/>
      <c r="H6" s="14"/>
    </row>
    <row r="7" spans="2:11" x14ac:dyDescent="0.2">
      <c r="B7" s="41" t="s">
        <v>76</v>
      </c>
      <c r="C7" s="42">
        <v>5</v>
      </c>
      <c r="D7" s="42">
        <v>10000</v>
      </c>
      <c r="E7" s="43">
        <f>D7/C7</f>
        <v>2000</v>
      </c>
      <c r="F7" s="14"/>
      <c r="G7" s="14"/>
      <c r="H7" s="14"/>
      <c r="J7" s="16">
        <f>D5+D6</f>
        <v>505000</v>
      </c>
    </row>
    <row r="8" spans="2:11" x14ac:dyDescent="0.2">
      <c r="B8" s="41" t="s">
        <v>77</v>
      </c>
      <c r="C8" s="42">
        <v>5</v>
      </c>
      <c r="D8" s="42">
        <f>'Investissement par RH'!C51</f>
        <v>21600</v>
      </c>
      <c r="E8" s="43">
        <f>'Investissement par RH'!L51</f>
        <v>7200</v>
      </c>
      <c r="F8" s="42">
        <f>'Investissement par RH'!U51</f>
        <v>11000</v>
      </c>
      <c r="G8" s="42">
        <f>'Investissement par RH'!AD51</f>
        <v>2000</v>
      </c>
      <c r="H8" s="42">
        <f>'Investissement par RH'!AM51</f>
        <v>2000</v>
      </c>
      <c r="J8" s="16">
        <f>SUM(D7:D33)</f>
        <v>157550</v>
      </c>
    </row>
    <row r="9" spans="2:11" x14ac:dyDescent="0.2">
      <c r="B9" s="41" t="s">
        <v>78</v>
      </c>
      <c r="C9" s="42">
        <v>5</v>
      </c>
      <c r="D9" s="42">
        <f>'Investissement par RH'!G51</f>
        <v>1200</v>
      </c>
      <c r="E9" s="43">
        <f>'Investissement par RH'!P51</f>
        <v>200</v>
      </c>
      <c r="F9" s="42">
        <f>'Investissement par RH'!Y51</f>
        <v>400</v>
      </c>
      <c r="G9" s="42">
        <f>'Investissement par RH'!AH51</f>
        <v>400</v>
      </c>
      <c r="H9" s="42">
        <f>'Investissement par RH'!AQ51</f>
        <v>400</v>
      </c>
      <c r="J9" s="16">
        <f>J7+J8</f>
        <v>662550</v>
      </c>
      <c r="K9" s="16">
        <v>377000</v>
      </c>
    </row>
    <row r="10" spans="2:11" x14ac:dyDescent="0.2">
      <c r="B10" s="41" t="s">
        <v>79</v>
      </c>
      <c r="C10" s="14">
        <v>5</v>
      </c>
      <c r="D10" s="14">
        <f>'Investissement par RH'!D51</f>
        <v>5500</v>
      </c>
      <c r="E10" s="43">
        <f>'Investissement par RH'!M51</f>
        <v>1000</v>
      </c>
      <c r="F10" s="14">
        <f>'Investissement par RH'!V51</f>
        <v>3500</v>
      </c>
      <c r="G10" s="14">
        <f>'Investissement par RH'!AE51</f>
        <v>0</v>
      </c>
      <c r="H10" s="14">
        <f>'Investissement par RH'!AN51</f>
        <v>0</v>
      </c>
      <c r="K10" s="16">
        <v>200100</v>
      </c>
    </row>
    <row r="11" spans="2:11" x14ac:dyDescent="0.2">
      <c r="B11" s="41" t="s">
        <v>49</v>
      </c>
      <c r="C11" s="14">
        <v>5</v>
      </c>
      <c r="D11" s="14">
        <f>'Investissement par RH'!J51</f>
        <v>2000</v>
      </c>
      <c r="E11" s="43">
        <f>'Investissement par RH'!S51</f>
        <v>2500</v>
      </c>
      <c r="F11" s="14">
        <f>'Investissement par RH'!AB51</f>
        <v>1000</v>
      </c>
      <c r="G11" s="14">
        <f>'Investissement par RH'!AK51</f>
        <v>0</v>
      </c>
      <c r="H11" s="14">
        <f>'Investissement par RH'!AT51</f>
        <v>0</v>
      </c>
    </row>
    <row r="12" spans="2:11" x14ac:dyDescent="0.2">
      <c r="B12" s="41" t="s">
        <v>51</v>
      </c>
      <c r="C12" s="14">
        <v>5</v>
      </c>
      <c r="D12" s="14">
        <f>'Investissement par RH'!E51</f>
        <v>1200</v>
      </c>
      <c r="E12" s="43">
        <f>'Investissement par RH'!N51</f>
        <v>0</v>
      </c>
      <c r="F12" s="14">
        <f>'Investissement par RH'!W51</f>
        <v>1200</v>
      </c>
      <c r="G12" s="14">
        <f>'Investissement par RH'!AF51</f>
        <v>0</v>
      </c>
      <c r="H12" s="14">
        <f>'Investissement par RH'!AO51</f>
        <v>0</v>
      </c>
    </row>
    <row r="13" spans="2:11" x14ac:dyDescent="0.2">
      <c r="B13" s="41" t="s">
        <v>80</v>
      </c>
      <c r="C13" s="14">
        <v>5</v>
      </c>
      <c r="D13" s="14">
        <f>400*5</f>
        <v>2000</v>
      </c>
      <c r="E13" s="43"/>
      <c r="F13" s="14"/>
      <c r="G13" s="14"/>
      <c r="H13" s="14"/>
    </row>
    <row r="14" spans="2:11" x14ac:dyDescent="0.2">
      <c r="B14" s="41" t="s">
        <v>81</v>
      </c>
      <c r="C14" s="14">
        <v>5</v>
      </c>
      <c r="D14" s="14">
        <v>2000</v>
      </c>
      <c r="E14" s="43"/>
      <c r="F14" s="14"/>
      <c r="G14" s="14"/>
      <c r="H14" s="14"/>
    </row>
    <row r="15" spans="2:11" x14ac:dyDescent="0.2">
      <c r="B15" s="44" t="s">
        <v>359</v>
      </c>
      <c r="C15" s="14">
        <v>5</v>
      </c>
      <c r="D15" s="14">
        <f>2000*2</f>
        <v>4000</v>
      </c>
      <c r="E15" s="43">
        <f>2000*3</f>
        <v>6000</v>
      </c>
      <c r="F15" s="14">
        <f>2000*2</f>
        <v>4000</v>
      </c>
      <c r="G15" s="14"/>
      <c r="H15" s="14"/>
    </row>
    <row r="16" spans="2:11" x14ac:dyDescent="0.2">
      <c r="B16" s="41" t="s">
        <v>83</v>
      </c>
      <c r="C16" s="14">
        <v>5</v>
      </c>
      <c r="D16" s="14">
        <f>'Investissement par RH'!F51</f>
        <v>3200</v>
      </c>
      <c r="E16" s="43">
        <f>'Investissement par RH'!O51</f>
        <v>800</v>
      </c>
      <c r="F16" s="14">
        <f>'Investissement par RH'!X51</f>
        <v>2800</v>
      </c>
      <c r="G16" s="14">
        <f>'Investissement par RH'!AG51</f>
        <v>0</v>
      </c>
      <c r="H16" s="14">
        <f>'Investissement par RH'!AP51</f>
        <v>0</v>
      </c>
      <c r="K16" s="16">
        <f>K9+K10</f>
        <v>577100</v>
      </c>
    </row>
    <row r="17" spans="2:8" x14ac:dyDescent="0.2">
      <c r="B17" s="41" t="s">
        <v>84</v>
      </c>
      <c r="C17" s="14">
        <v>5</v>
      </c>
      <c r="D17" s="14">
        <f>'Investissement par RH'!H51</f>
        <v>35000</v>
      </c>
      <c r="E17" s="43">
        <f>'Investissement par RH'!Q51</f>
        <v>70000</v>
      </c>
      <c r="F17" s="14">
        <f>'Investissement par RH'!Z51</f>
        <v>0</v>
      </c>
      <c r="G17" s="14">
        <f>'Investissement par RH'!AI51</f>
        <v>0</v>
      </c>
      <c r="H17" s="14">
        <f>'Investissement par RH'!AR51</f>
        <v>0</v>
      </c>
    </row>
    <row r="18" spans="2:8" x14ac:dyDescent="0.2">
      <c r="B18" s="41" t="s">
        <v>85</v>
      </c>
      <c r="C18" s="14">
        <v>5</v>
      </c>
      <c r="D18" s="14">
        <v>3000</v>
      </c>
      <c r="E18" s="43"/>
      <c r="F18" s="14"/>
      <c r="G18" s="14"/>
      <c r="H18" s="14"/>
    </row>
    <row r="19" spans="2:8" x14ac:dyDescent="0.2">
      <c r="B19" s="41" t="s">
        <v>86</v>
      </c>
      <c r="C19" s="14">
        <v>5</v>
      </c>
      <c r="D19" s="14">
        <f>'Investissement par RH'!I51</f>
        <v>1650</v>
      </c>
      <c r="E19" s="43">
        <f>'Investissement par RH'!R51</f>
        <v>100</v>
      </c>
      <c r="F19" s="14">
        <f>'Investissement par RH'!AA51</f>
        <v>700</v>
      </c>
      <c r="G19" s="14">
        <f>'Investissement par RH'!AJ51</f>
        <v>0</v>
      </c>
      <c r="H19" s="14">
        <f>'Investissement par RH'!AS51</f>
        <v>0</v>
      </c>
    </row>
    <row r="20" spans="2:8" x14ac:dyDescent="0.2">
      <c r="B20" s="45" t="s">
        <v>87</v>
      </c>
      <c r="C20" s="14">
        <v>5</v>
      </c>
      <c r="D20" s="14">
        <v>7000</v>
      </c>
      <c r="E20" s="43"/>
      <c r="F20" s="14"/>
      <c r="G20" s="14"/>
      <c r="H20" s="14"/>
    </row>
    <row r="21" spans="2:8" x14ac:dyDescent="0.2">
      <c r="B21" s="45" t="s">
        <v>88</v>
      </c>
      <c r="C21" s="14">
        <v>5</v>
      </c>
      <c r="D21" s="14">
        <v>6000</v>
      </c>
      <c r="E21" s="15"/>
      <c r="F21" s="14"/>
      <c r="G21" s="14"/>
      <c r="H21" s="14"/>
    </row>
    <row r="22" spans="2:8" x14ac:dyDescent="0.2">
      <c r="B22" s="45" t="s">
        <v>89</v>
      </c>
      <c r="C22" s="14">
        <v>5</v>
      </c>
      <c r="D22" s="14">
        <v>3000</v>
      </c>
      <c r="E22" s="15"/>
      <c r="F22" s="14"/>
      <c r="G22" s="14"/>
      <c r="H22" s="14"/>
    </row>
    <row r="23" spans="2:8" x14ac:dyDescent="0.2">
      <c r="B23" s="41" t="s">
        <v>90</v>
      </c>
      <c r="C23" s="14">
        <v>5</v>
      </c>
      <c r="D23" s="14">
        <v>4000</v>
      </c>
      <c r="E23" s="15"/>
      <c r="F23" s="14"/>
      <c r="G23" s="14"/>
      <c r="H23" s="14"/>
    </row>
    <row r="24" spans="2:8" x14ac:dyDescent="0.2">
      <c r="B24" s="41" t="s">
        <v>91</v>
      </c>
      <c r="C24" s="14">
        <v>5</v>
      </c>
      <c r="D24" s="14">
        <f>700*7</f>
        <v>4900</v>
      </c>
      <c r="E24" s="15"/>
      <c r="F24" s="14"/>
      <c r="G24" s="14"/>
      <c r="H24" s="14"/>
    </row>
    <row r="25" spans="2:8" x14ac:dyDescent="0.2">
      <c r="B25" s="41" t="s">
        <v>92</v>
      </c>
      <c r="C25" s="14">
        <v>5</v>
      </c>
      <c r="D25" s="14">
        <v>1800</v>
      </c>
      <c r="E25" s="15"/>
      <c r="F25" s="14"/>
      <c r="G25" s="14"/>
      <c r="H25" s="14"/>
    </row>
    <row r="26" spans="2:8" x14ac:dyDescent="0.2">
      <c r="B26" s="41" t="s">
        <v>93</v>
      </c>
      <c r="C26" s="14">
        <v>5</v>
      </c>
      <c r="D26" s="14">
        <v>1500</v>
      </c>
      <c r="E26" s="15"/>
      <c r="F26" s="14"/>
      <c r="G26" s="14"/>
      <c r="H26" s="14"/>
    </row>
    <row r="27" spans="2:8" x14ac:dyDescent="0.2">
      <c r="B27" s="45" t="s">
        <v>94</v>
      </c>
      <c r="C27" s="14">
        <v>5</v>
      </c>
      <c r="D27" s="14">
        <v>10000</v>
      </c>
      <c r="E27" s="15"/>
      <c r="F27" s="14"/>
      <c r="G27" s="14"/>
      <c r="H27" s="14"/>
    </row>
    <row r="28" spans="2:8" x14ac:dyDescent="0.2">
      <c r="B28" s="46" t="s">
        <v>95</v>
      </c>
      <c r="C28" s="14">
        <v>5</v>
      </c>
      <c r="D28" s="14">
        <v>2000</v>
      </c>
      <c r="E28" s="15"/>
      <c r="F28" s="14"/>
      <c r="G28" s="14"/>
      <c r="H28" s="14"/>
    </row>
    <row r="29" spans="2:8" x14ac:dyDescent="0.2">
      <c r="B29" s="46" t="s">
        <v>96</v>
      </c>
      <c r="C29" s="14">
        <v>5</v>
      </c>
      <c r="D29" s="14">
        <v>1000</v>
      </c>
      <c r="E29" s="15"/>
      <c r="F29" s="14"/>
      <c r="G29" s="14"/>
      <c r="H29" s="14"/>
    </row>
    <row r="30" spans="2:8" x14ac:dyDescent="0.2">
      <c r="B30" s="46" t="s">
        <v>97</v>
      </c>
      <c r="C30" s="14">
        <v>5</v>
      </c>
      <c r="D30" s="14">
        <v>8000</v>
      </c>
      <c r="E30" s="15"/>
      <c r="F30" s="14"/>
      <c r="G30" s="14"/>
      <c r="H30" s="14"/>
    </row>
    <row r="31" spans="2:8" x14ac:dyDescent="0.2">
      <c r="B31" s="41" t="s">
        <v>98</v>
      </c>
      <c r="C31" s="14">
        <v>5</v>
      </c>
      <c r="D31" s="14">
        <v>5000</v>
      </c>
      <c r="E31" s="15"/>
      <c r="F31" s="14"/>
      <c r="G31" s="14"/>
      <c r="H31" s="14"/>
    </row>
    <row r="32" spans="2:8" x14ac:dyDescent="0.2">
      <c r="B32" s="41" t="s">
        <v>99</v>
      </c>
      <c r="C32" s="14">
        <v>5</v>
      </c>
      <c r="D32" s="14">
        <v>10000</v>
      </c>
      <c r="E32" s="15"/>
      <c r="F32" s="14"/>
      <c r="G32" s="14"/>
      <c r="H32" s="14"/>
    </row>
    <row r="33" spans="2:10" x14ac:dyDescent="0.2">
      <c r="B33" s="41" t="s">
        <v>100</v>
      </c>
      <c r="C33" s="14">
        <v>3</v>
      </c>
      <c r="D33" s="14">
        <v>1000</v>
      </c>
      <c r="E33" s="15"/>
      <c r="F33" s="14"/>
      <c r="G33" s="14"/>
      <c r="H33" s="14"/>
    </row>
    <row r="34" spans="2:10" x14ac:dyDescent="0.2">
      <c r="B34" s="41" t="s">
        <v>101</v>
      </c>
      <c r="C34" s="14"/>
      <c r="D34" s="47"/>
      <c r="E34" s="15"/>
      <c r="F34" s="14"/>
      <c r="G34" s="14"/>
      <c r="H34" s="14"/>
    </row>
    <row r="36" spans="2:10" x14ac:dyDescent="0.2">
      <c r="B36" s="48" t="s">
        <v>65</v>
      </c>
      <c r="C36" s="14"/>
      <c r="D36" s="39">
        <f>SUM(D5:D35)</f>
        <v>662550</v>
      </c>
      <c r="E36" s="39">
        <f>SUM(E5:E35)</f>
        <v>192300</v>
      </c>
      <c r="F36" s="39">
        <f>SUM(F5:F35)</f>
        <v>24600</v>
      </c>
      <c r="G36" s="39">
        <f>SUM(G5:G35)</f>
        <v>2400</v>
      </c>
      <c r="H36" s="39">
        <f>SUM(H5:H35)</f>
        <v>2400</v>
      </c>
      <c r="J36" s="49"/>
    </row>
    <row r="38" spans="2:10" ht="28" x14ac:dyDescent="0.2">
      <c r="B38" s="39" t="s">
        <v>67</v>
      </c>
      <c r="C38" s="39" t="s">
        <v>102</v>
      </c>
      <c r="D38" s="39" t="s">
        <v>69</v>
      </c>
      <c r="E38" s="40" t="s">
        <v>70</v>
      </c>
      <c r="F38" s="39" t="s">
        <v>71</v>
      </c>
      <c r="G38" s="39" t="s">
        <v>72</v>
      </c>
      <c r="H38" s="39" t="s">
        <v>73</v>
      </c>
    </row>
    <row r="39" spans="2:10" x14ac:dyDescent="0.2">
      <c r="B39" s="41" t="s">
        <v>74</v>
      </c>
      <c r="C39" s="50">
        <v>0.5</v>
      </c>
      <c r="D39" s="14">
        <f>+$D5/2</f>
        <v>2500</v>
      </c>
      <c r="E39" s="15">
        <f>D5/2</f>
        <v>2500</v>
      </c>
      <c r="F39" s="14"/>
      <c r="G39" s="14"/>
      <c r="H39" s="14"/>
    </row>
    <row r="40" spans="2:10" x14ac:dyDescent="0.2">
      <c r="B40" s="41" t="s">
        <v>75</v>
      </c>
      <c r="C40" s="50">
        <v>0.2</v>
      </c>
      <c r="D40" s="14">
        <f>$D$6/5</f>
        <v>100000</v>
      </c>
      <c r="E40" s="14">
        <f>$D$6/5</f>
        <v>100000</v>
      </c>
      <c r="F40" s="14">
        <f>$D$6/5</f>
        <v>100000</v>
      </c>
      <c r="G40" s="14">
        <f>$D$6/5</f>
        <v>100000</v>
      </c>
      <c r="H40" s="14">
        <f>$D$6/5</f>
        <v>100000</v>
      </c>
    </row>
    <row r="41" spans="2:10" x14ac:dyDescent="0.2">
      <c r="B41" s="41" t="s">
        <v>76</v>
      </c>
      <c r="C41" s="50">
        <v>0.2</v>
      </c>
      <c r="D41" s="14">
        <f>+$D7/5</f>
        <v>2000</v>
      </c>
      <c r="E41" s="14">
        <f>+$D7/5</f>
        <v>2000</v>
      </c>
      <c r="F41" s="14">
        <f>+$D7/5</f>
        <v>2000</v>
      </c>
      <c r="G41" s="14">
        <f>+$D7/5</f>
        <v>2000</v>
      </c>
      <c r="H41" s="14">
        <f>+$D7/5</f>
        <v>2000</v>
      </c>
    </row>
    <row r="42" spans="2:10" x14ac:dyDescent="0.2">
      <c r="B42" s="41" t="s">
        <v>77</v>
      </c>
      <c r="C42" s="50">
        <v>0.2</v>
      </c>
      <c r="D42" s="14">
        <f>D8/5</f>
        <v>4320</v>
      </c>
      <c r="E42" s="15">
        <f>D8/5+E8/5</f>
        <v>5760</v>
      </c>
      <c r="F42" s="14">
        <f>D8/5+E8/5+F8/5</f>
        <v>7960</v>
      </c>
      <c r="G42" s="14">
        <f>D8/5+E8/5+F8/5</f>
        <v>7960</v>
      </c>
      <c r="H42" s="14">
        <f>D8/5+E8/5+F8/5</f>
        <v>7960</v>
      </c>
    </row>
    <row r="43" spans="2:10" x14ac:dyDescent="0.2">
      <c r="B43" s="41" t="s">
        <v>103</v>
      </c>
      <c r="C43" s="50">
        <v>0.2</v>
      </c>
      <c r="D43" s="14">
        <f>D9/5</f>
        <v>240</v>
      </c>
      <c r="E43" s="15">
        <f>D9/5+E9/5</f>
        <v>280</v>
      </c>
      <c r="F43" s="14">
        <f>D9/5+E9/5+F9/5</f>
        <v>360</v>
      </c>
      <c r="G43" s="14">
        <f>D9/5+E9/5+F9/5+G9/5</f>
        <v>440</v>
      </c>
      <c r="H43" s="14">
        <f>D9/5+E9/5+F9/5+G9/5+H9/5</f>
        <v>520</v>
      </c>
    </row>
    <row r="44" spans="2:10" x14ac:dyDescent="0.2">
      <c r="B44" s="41" t="s">
        <v>79</v>
      </c>
      <c r="C44" s="50">
        <v>0.2</v>
      </c>
      <c r="D44" s="14">
        <f>D10/5</f>
        <v>1100</v>
      </c>
      <c r="E44" s="15">
        <f>D10/5+E10/5</f>
        <v>1300</v>
      </c>
      <c r="F44" s="14">
        <f>D10/5+E10/5+F10/5</f>
        <v>2000</v>
      </c>
      <c r="G44" s="14">
        <f>D10/5+E10/5+F10/5+G10/5</f>
        <v>2000</v>
      </c>
      <c r="H44" s="14">
        <f>D10/5+E10/5+F10/5+G10/5+H10/5</f>
        <v>2000</v>
      </c>
    </row>
    <row r="45" spans="2:10" x14ac:dyDescent="0.2">
      <c r="B45" s="41" t="s">
        <v>49</v>
      </c>
      <c r="C45" s="50">
        <v>0.2</v>
      </c>
      <c r="D45" s="14">
        <f>D11/5</f>
        <v>400</v>
      </c>
      <c r="E45" s="43">
        <f>D11/5+E11/5</f>
        <v>900</v>
      </c>
      <c r="F45" s="14">
        <f>D11/5+E11/5+F11/5</f>
        <v>1100</v>
      </c>
      <c r="G45" s="14">
        <f>D11/5+E11/5+F11/5+G11/5</f>
        <v>1100</v>
      </c>
      <c r="H45" s="14">
        <f>D11/5+E11/5+F11/5+G11/5+H11/5</f>
        <v>1100</v>
      </c>
    </row>
    <row r="46" spans="2:10" x14ac:dyDescent="0.2">
      <c r="B46" s="41" t="s">
        <v>51</v>
      </c>
      <c r="C46" s="50">
        <v>0.2</v>
      </c>
      <c r="D46" s="14">
        <f>D12/5</f>
        <v>240</v>
      </c>
      <c r="E46" s="43">
        <f>D12/5+E12/5</f>
        <v>240</v>
      </c>
      <c r="F46" s="14">
        <f>D12/5+E12/5+F12/5</f>
        <v>480</v>
      </c>
      <c r="G46" s="14">
        <f>D12/5+E12/5+F12/5+G12/5</f>
        <v>480</v>
      </c>
      <c r="H46" s="14">
        <f>D12/5+E12/5+F12/5+G12/5+H12/5</f>
        <v>480</v>
      </c>
    </row>
    <row r="47" spans="2:10" x14ac:dyDescent="0.2">
      <c r="B47" s="41" t="s">
        <v>80</v>
      </c>
      <c r="C47" s="50">
        <v>0.2</v>
      </c>
      <c r="D47" s="14">
        <f>$D$13/5</f>
        <v>400</v>
      </c>
      <c r="E47" s="14">
        <f>$D$13/5</f>
        <v>400</v>
      </c>
      <c r="F47" s="14">
        <f>$D$13/5</f>
        <v>400</v>
      </c>
      <c r="G47" s="14">
        <f>$D$13/5</f>
        <v>400</v>
      </c>
      <c r="H47" s="14">
        <f>$D$13/5</f>
        <v>400</v>
      </c>
    </row>
    <row r="48" spans="2:10" x14ac:dyDescent="0.2">
      <c r="B48" s="41" t="s">
        <v>81</v>
      </c>
      <c r="C48" s="50">
        <v>0.2</v>
      </c>
      <c r="D48" s="14">
        <f>$D$14/5</f>
        <v>400</v>
      </c>
      <c r="E48" s="14">
        <f>$D$14/5</f>
        <v>400</v>
      </c>
      <c r="F48" s="14">
        <f>$D$14/5</f>
        <v>400</v>
      </c>
      <c r="G48" s="14">
        <f>$D$14/5</f>
        <v>400</v>
      </c>
      <c r="H48" s="14">
        <f>$D$14/5</f>
        <v>400</v>
      </c>
    </row>
    <row r="49" spans="2:8" x14ac:dyDescent="0.2">
      <c r="B49" s="44" t="s">
        <v>82</v>
      </c>
      <c r="C49" s="50">
        <v>0.2</v>
      </c>
      <c r="D49" s="14">
        <f>D15/5</f>
        <v>800</v>
      </c>
      <c r="E49" s="43">
        <f>D15/5+E15/5</f>
        <v>2000</v>
      </c>
      <c r="F49" s="14">
        <f>D15/5+E15/5+F15/5</f>
        <v>2800</v>
      </c>
      <c r="G49" s="14">
        <f>D15/5+E15/5+F15/5+G15/5</f>
        <v>2800</v>
      </c>
      <c r="H49" s="14">
        <f>D15/5+E15/5+F15/5+G15/5+H15/5</f>
        <v>2800</v>
      </c>
    </row>
    <row r="50" spans="2:8" x14ac:dyDescent="0.2">
      <c r="B50" s="41" t="s">
        <v>84</v>
      </c>
      <c r="C50" s="50">
        <v>0.2</v>
      </c>
      <c r="D50" s="14">
        <f>D17/5</f>
        <v>7000</v>
      </c>
      <c r="E50" s="15">
        <f>D17/5+E17/5</f>
        <v>21000</v>
      </c>
      <c r="F50" s="14">
        <f>D17/5+E17/5+F17/5</f>
        <v>21000</v>
      </c>
      <c r="G50" s="14">
        <f>D17/5+E17/5+F17/5+G17/5</f>
        <v>21000</v>
      </c>
      <c r="H50" s="14">
        <f>D17/5+E17/5+F17/5+G17/5+H17/5</f>
        <v>21000</v>
      </c>
    </row>
    <row r="51" spans="2:8" x14ac:dyDescent="0.2">
      <c r="B51" s="41" t="s">
        <v>85</v>
      </c>
      <c r="C51" s="50">
        <v>0.2</v>
      </c>
      <c r="D51" s="14">
        <f>D18/5</f>
        <v>600</v>
      </c>
      <c r="E51" s="15">
        <f>D18/5+E18/5</f>
        <v>600</v>
      </c>
      <c r="F51" s="14">
        <f>D18/5+E18/5+F18/5</f>
        <v>600</v>
      </c>
      <c r="G51" s="14">
        <f>D18/5+E18/5+F18/5</f>
        <v>600</v>
      </c>
      <c r="H51" s="14">
        <f>D18/5+E18/5+F18/5</f>
        <v>600</v>
      </c>
    </row>
    <row r="52" spans="2:8" x14ac:dyDescent="0.2">
      <c r="B52" s="41" t="s">
        <v>86</v>
      </c>
      <c r="C52" s="50">
        <v>0.2</v>
      </c>
      <c r="D52" s="14">
        <f>D19/5</f>
        <v>330</v>
      </c>
      <c r="E52" s="15">
        <f>D19/5+E19/5</f>
        <v>350</v>
      </c>
      <c r="F52" s="14">
        <f>D19/5+E19/5+F19/5</f>
        <v>490</v>
      </c>
      <c r="G52" s="14">
        <f>D19/5+E19/5+F19/5+G19/5</f>
        <v>490</v>
      </c>
      <c r="H52" s="14">
        <f>D19/5+E19/5+F19/5+G19/5+H19/5</f>
        <v>490</v>
      </c>
    </row>
    <row r="53" spans="2:8" x14ac:dyDescent="0.2">
      <c r="B53" s="45" t="s">
        <v>104</v>
      </c>
      <c r="C53" s="50">
        <v>0.2</v>
      </c>
      <c r="D53" s="14">
        <f>D20/5</f>
        <v>1400</v>
      </c>
      <c r="E53" s="14">
        <f>$D$20/5</f>
        <v>1400</v>
      </c>
      <c r="F53" s="14">
        <f>$D$20/5</f>
        <v>1400</v>
      </c>
      <c r="G53" s="14">
        <f>$D$20/5</f>
        <v>1400</v>
      </c>
      <c r="H53" s="14">
        <f>$D$20/5</f>
        <v>1400</v>
      </c>
    </row>
    <row r="54" spans="2:8" x14ac:dyDescent="0.2">
      <c r="B54" s="45" t="s">
        <v>88</v>
      </c>
      <c r="C54" s="50">
        <v>0.2</v>
      </c>
      <c r="D54" s="14">
        <f>D21/5</f>
        <v>1200</v>
      </c>
      <c r="E54" s="15">
        <f>+$D21/5+$E21/5</f>
        <v>1200</v>
      </c>
      <c r="F54" s="14">
        <f>+$D21/5+$E21/5+$F21/5</f>
        <v>1200</v>
      </c>
      <c r="G54" s="14">
        <f>+$D21/5+$E21/5+$F21/5</f>
        <v>1200</v>
      </c>
      <c r="H54" s="14">
        <f>+$D21/5+$E21/5+$F21/5</f>
        <v>1200</v>
      </c>
    </row>
    <row r="55" spans="2:8" x14ac:dyDescent="0.2">
      <c r="B55" s="45" t="s">
        <v>89</v>
      </c>
      <c r="C55" s="50">
        <v>0.2</v>
      </c>
      <c r="D55" s="14">
        <f>$D$22/5</f>
        <v>600</v>
      </c>
      <c r="E55" s="14">
        <f>$D$22/5</f>
        <v>600</v>
      </c>
      <c r="F55" s="14">
        <f>$D$22/5</f>
        <v>600</v>
      </c>
      <c r="G55" s="14">
        <f>$D$22/5</f>
        <v>600</v>
      </c>
      <c r="H55" s="14">
        <f>$D$22/5</f>
        <v>600</v>
      </c>
    </row>
    <row r="56" spans="2:8" x14ac:dyDescent="0.2">
      <c r="B56" s="41" t="s">
        <v>90</v>
      </c>
      <c r="C56" s="50">
        <v>0.2</v>
      </c>
      <c r="D56" s="14">
        <f>D23/5</f>
        <v>800</v>
      </c>
      <c r="E56" s="15">
        <f>+$D23/5+$E23/5</f>
        <v>800</v>
      </c>
      <c r="F56" s="14">
        <f t="shared" ref="F56:H57" si="0">+$D23/5+$E23/5+$F23/5</f>
        <v>800</v>
      </c>
      <c r="G56" s="14">
        <f t="shared" si="0"/>
        <v>800</v>
      </c>
      <c r="H56" s="14">
        <f t="shared" si="0"/>
        <v>800</v>
      </c>
    </row>
    <row r="57" spans="2:8" x14ac:dyDescent="0.2">
      <c r="B57" s="41" t="s">
        <v>105</v>
      </c>
      <c r="C57" s="50">
        <v>0.2</v>
      </c>
      <c r="D57" s="14">
        <f>D24/5</f>
        <v>980</v>
      </c>
      <c r="E57" s="15">
        <f>+$D24/5+$E24/5</f>
        <v>980</v>
      </c>
      <c r="F57" s="14">
        <f t="shared" si="0"/>
        <v>980</v>
      </c>
      <c r="G57" s="14">
        <f t="shared" si="0"/>
        <v>980</v>
      </c>
      <c r="H57" s="14">
        <f t="shared" si="0"/>
        <v>980</v>
      </c>
    </row>
    <row r="58" spans="2:8" x14ac:dyDescent="0.2">
      <c r="B58" s="41" t="s">
        <v>92</v>
      </c>
      <c r="C58" s="50">
        <v>0.2</v>
      </c>
      <c r="D58" s="14">
        <f>$D$25/5</f>
        <v>360</v>
      </c>
      <c r="E58" s="14">
        <f>$D$25/5</f>
        <v>360</v>
      </c>
      <c r="F58" s="14">
        <f>$D$25/5</f>
        <v>360</v>
      </c>
      <c r="G58" s="14">
        <f>$D$25/5</f>
        <v>360</v>
      </c>
      <c r="H58" s="14">
        <f>$D$25/5</f>
        <v>360</v>
      </c>
    </row>
    <row r="59" spans="2:8" x14ac:dyDescent="0.2">
      <c r="B59" s="41" t="s">
        <v>93</v>
      </c>
      <c r="C59" s="50">
        <v>0.2</v>
      </c>
      <c r="D59" s="14">
        <f>$D$26/5</f>
        <v>300</v>
      </c>
      <c r="E59" s="14">
        <f>$D$26/5</f>
        <v>300</v>
      </c>
      <c r="F59" s="14">
        <f>$D$26/5</f>
        <v>300</v>
      </c>
      <c r="G59" s="14">
        <f>$D$26/5</f>
        <v>300</v>
      </c>
      <c r="H59" s="14">
        <f>$D$26/5</f>
        <v>300</v>
      </c>
    </row>
    <row r="60" spans="2:8" x14ac:dyDescent="0.2">
      <c r="B60" s="45" t="s">
        <v>94</v>
      </c>
      <c r="C60" s="50">
        <v>0.2</v>
      </c>
      <c r="D60" s="14">
        <f>$D$27/5</f>
        <v>2000</v>
      </c>
      <c r="E60" s="14">
        <f>$D$27/5</f>
        <v>2000</v>
      </c>
      <c r="F60" s="14">
        <f>$D$27/5</f>
        <v>2000</v>
      </c>
      <c r="G60" s="14">
        <f>$D$27/5</f>
        <v>2000</v>
      </c>
      <c r="H60" s="14">
        <f>$D$27/5</f>
        <v>2000</v>
      </c>
    </row>
    <row r="61" spans="2:8" x14ac:dyDescent="0.2">
      <c r="B61" s="46" t="s">
        <v>95</v>
      </c>
      <c r="C61" s="50">
        <v>0.2</v>
      </c>
      <c r="D61" s="14">
        <f>$D$28/5</f>
        <v>400</v>
      </c>
      <c r="E61" s="14">
        <f>$D$28/5</f>
        <v>400</v>
      </c>
      <c r="F61" s="14">
        <f>$D$28/5</f>
        <v>400</v>
      </c>
      <c r="G61" s="14">
        <f>$D$28/5</f>
        <v>400</v>
      </c>
      <c r="H61" s="14">
        <f>$D$28/5</f>
        <v>400</v>
      </c>
    </row>
    <row r="62" spans="2:8" x14ac:dyDescent="0.2">
      <c r="B62" s="46" t="s">
        <v>96</v>
      </c>
      <c r="C62" s="50">
        <v>0.2</v>
      </c>
      <c r="D62" s="14">
        <f>$D$29/5</f>
        <v>200</v>
      </c>
      <c r="E62" s="14">
        <f>$D$29/5</f>
        <v>200</v>
      </c>
      <c r="F62" s="14">
        <f>$D$29/5</f>
        <v>200</v>
      </c>
      <c r="G62" s="14">
        <f>$D$29/5</f>
        <v>200</v>
      </c>
      <c r="H62" s="14">
        <f>$D$29/5</f>
        <v>200</v>
      </c>
    </row>
    <row r="63" spans="2:8" x14ac:dyDescent="0.2">
      <c r="B63" s="46" t="s">
        <v>106</v>
      </c>
      <c r="C63" s="50">
        <v>0.2</v>
      </c>
      <c r="D63" s="14">
        <f>$D$30/5</f>
        <v>1600</v>
      </c>
      <c r="E63" s="14">
        <f>$D$30/5</f>
        <v>1600</v>
      </c>
      <c r="F63" s="14">
        <f>$D$30/5</f>
        <v>1600</v>
      </c>
      <c r="G63" s="14">
        <f>$D$30/5</f>
        <v>1600</v>
      </c>
      <c r="H63" s="14">
        <f>$D$30/5</f>
        <v>1600</v>
      </c>
    </row>
    <row r="64" spans="2:8" x14ac:dyDescent="0.2">
      <c r="B64" s="41" t="s">
        <v>98</v>
      </c>
      <c r="C64" s="50">
        <v>0.2</v>
      </c>
      <c r="D64" s="14">
        <f>D31/5</f>
        <v>1000</v>
      </c>
      <c r="E64" s="15">
        <f>+$D31/5+$E31/5</f>
        <v>1000</v>
      </c>
      <c r="F64" s="14">
        <f>+$D31/5+$E31/5+$F31/5</f>
        <v>1000</v>
      </c>
      <c r="G64" s="14">
        <f>+$D31/5+$E31/5+$F31/5</f>
        <v>1000</v>
      </c>
      <c r="H64" s="14">
        <f>+$D31/5+$E31/5+$F31/5</f>
        <v>1000</v>
      </c>
    </row>
    <row r="65" spans="2:8" x14ac:dyDescent="0.2">
      <c r="B65" s="41" t="s">
        <v>99</v>
      </c>
      <c r="C65" s="50">
        <v>0.2</v>
      </c>
      <c r="D65" s="14">
        <f>D32/5</f>
        <v>2000</v>
      </c>
      <c r="E65" s="15">
        <f>+$D32/5</f>
        <v>2000</v>
      </c>
      <c r="F65" s="14">
        <f>+$D32/5</f>
        <v>2000</v>
      </c>
      <c r="G65" s="14">
        <f>+$D32/5</f>
        <v>2000</v>
      </c>
      <c r="H65" s="14">
        <f>+$D32/5</f>
        <v>2000</v>
      </c>
    </row>
    <row r="66" spans="2:8" x14ac:dyDescent="0.2">
      <c r="B66" s="41" t="s">
        <v>100</v>
      </c>
      <c r="C66" s="50">
        <v>0.2</v>
      </c>
      <c r="D66" s="14">
        <f>$D$33/5</f>
        <v>200</v>
      </c>
      <c r="E66" s="14">
        <f>$D$33/5</f>
        <v>200</v>
      </c>
      <c r="F66" s="14">
        <f>$D$33/5</f>
        <v>200</v>
      </c>
      <c r="G66" s="14">
        <f>$D$33/5</f>
        <v>200</v>
      </c>
      <c r="H66" s="14">
        <f>$D$33/5</f>
        <v>200</v>
      </c>
    </row>
    <row r="67" spans="2:8" x14ac:dyDescent="0.2">
      <c r="B67" s="41"/>
      <c r="C67" s="51"/>
      <c r="D67" s="16"/>
      <c r="E67" s="26"/>
      <c r="F67" s="16"/>
      <c r="G67" s="16"/>
      <c r="H67" s="16"/>
    </row>
    <row r="68" spans="2:8" x14ac:dyDescent="0.2">
      <c r="B68" s="39" t="s">
        <v>40</v>
      </c>
      <c r="C68" s="52"/>
      <c r="D68" s="53">
        <f>SUM(D39:D67)</f>
        <v>133370</v>
      </c>
      <c r="E68" s="54">
        <f>SUM(E39:E67)</f>
        <v>150770</v>
      </c>
      <c r="F68" s="53">
        <f>SUM(F39:F67)</f>
        <v>152630</v>
      </c>
      <c r="G68" s="53">
        <f>SUM(G39:G67)</f>
        <v>152710</v>
      </c>
      <c r="H68" s="53">
        <f>SUM(H39:H67)</f>
        <v>152790</v>
      </c>
    </row>
    <row r="69" spans="2:8" x14ac:dyDescent="0.2">
      <c r="B69" s="55"/>
      <c r="C69" s="51"/>
      <c r="D69" s="16"/>
      <c r="E69" s="26"/>
      <c r="F69" s="16"/>
      <c r="G69" s="16"/>
      <c r="H69" s="16"/>
    </row>
    <row r="71" spans="2:8" x14ac:dyDescent="0.2">
      <c r="B71" s="39" t="s">
        <v>67</v>
      </c>
      <c r="C71" s="39" t="s">
        <v>107</v>
      </c>
      <c r="D71" s="39" t="s">
        <v>69</v>
      </c>
      <c r="E71" s="40" t="s">
        <v>70</v>
      </c>
      <c r="F71" s="39" t="s">
        <v>71</v>
      </c>
      <c r="G71" s="39" t="s">
        <v>72</v>
      </c>
      <c r="H71" s="39" t="s">
        <v>73</v>
      </c>
    </row>
    <row r="72" spans="2:8" x14ac:dyDescent="0.2">
      <c r="B72" s="41" t="s">
        <v>74</v>
      </c>
      <c r="C72" s="50">
        <v>0.18</v>
      </c>
      <c r="D72" s="14">
        <f>D5*C72</f>
        <v>900</v>
      </c>
      <c r="E72" s="14"/>
      <c r="F72" s="14"/>
      <c r="G72" s="14"/>
      <c r="H72" s="14"/>
    </row>
    <row r="73" spans="2:8" x14ac:dyDescent="0.2">
      <c r="B73" s="41" t="s">
        <v>75</v>
      </c>
      <c r="C73" s="50">
        <v>0.18</v>
      </c>
      <c r="D73" s="14">
        <f>D6*$C$73</f>
        <v>90000</v>
      </c>
      <c r="E73" s="14"/>
      <c r="F73" s="14"/>
      <c r="G73" s="14"/>
      <c r="H73" s="14"/>
    </row>
    <row r="74" spans="2:8" x14ac:dyDescent="0.2">
      <c r="B74" s="41" t="s">
        <v>76</v>
      </c>
      <c r="C74" s="50">
        <v>0.18</v>
      </c>
      <c r="D74" s="14">
        <f>D7*C74</f>
        <v>1800</v>
      </c>
      <c r="E74" s="15"/>
      <c r="F74" s="15"/>
      <c r="G74" s="15"/>
      <c r="H74" s="15"/>
    </row>
    <row r="75" spans="2:8" x14ac:dyDescent="0.2">
      <c r="B75" s="41" t="s">
        <v>77</v>
      </c>
      <c r="C75" s="50">
        <v>0.12</v>
      </c>
      <c r="D75" s="14">
        <f>D8*$C$75</f>
        <v>2592</v>
      </c>
      <c r="E75" s="14">
        <f>E8*$C$75</f>
        <v>864</v>
      </c>
      <c r="F75" s="14">
        <f>F8*$C$75</f>
        <v>1320</v>
      </c>
      <c r="G75" s="14">
        <f>G8*$C$75</f>
        <v>240</v>
      </c>
      <c r="H75" s="14">
        <f>H8*$C$75</f>
        <v>240</v>
      </c>
    </row>
    <row r="76" spans="2:8" x14ac:dyDescent="0.2">
      <c r="B76" s="41" t="s">
        <v>103</v>
      </c>
      <c r="C76" s="50">
        <v>0.18</v>
      </c>
      <c r="D76" s="14">
        <f>D9*$C$76</f>
        <v>216</v>
      </c>
      <c r="E76" s="14">
        <f>E9*$C$76</f>
        <v>36</v>
      </c>
      <c r="F76" s="14">
        <f>F9*$C$76</f>
        <v>72</v>
      </c>
      <c r="G76" s="14">
        <f>G9*$C$76</f>
        <v>72</v>
      </c>
      <c r="H76" s="14">
        <f>H9*$C$76</f>
        <v>72</v>
      </c>
    </row>
    <row r="77" spans="2:8" x14ac:dyDescent="0.2">
      <c r="B77" s="41" t="s">
        <v>79</v>
      </c>
      <c r="C77" s="50">
        <v>0.18</v>
      </c>
      <c r="D77" s="14">
        <f>D10*$C$77</f>
        <v>990</v>
      </c>
      <c r="E77" s="14">
        <f>E10*$C$77</f>
        <v>180</v>
      </c>
      <c r="F77" s="14">
        <f>F10*$C$77</f>
        <v>630</v>
      </c>
      <c r="G77" s="14">
        <f>G10*$C$77</f>
        <v>0</v>
      </c>
      <c r="H77" s="14">
        <f>H10*$C$77</f>
        <v>0</v>
      </c>
    </row>
    <row r="78" spans="2:8" x14ac:dyDescent="0.2">
      <c r="B78" s="41" t="s">
        <v>49</v>
      </c>
      <c r="C78" s="50">
        <v>0.18</v>
      </c>
      <c r="D78" s="14">
        <f>D11*$C$78</f>
        <v>360</v>
      </c>
      <c r="E78" s="14">
        <f>E11*$C$78</f>
        <v>450</v>
      </c>
      <c r="F78" s="14">
        <f>F11*$C$78</f>
        <v>180</v>
      </c>
      <c r="G78" s="14">
        <f>G11*$C$78</f>
        <v>0</v>
      </c>
      <c r="H78" s="14">
        <f>H11*$C$78</f>
        <v>0</v>
      </c>
    </row>
    <row r="79" spans="2:8" x14ac:dyDescent="0.2">
      <c r="B79" s="41" t="s">
        <v>51</v>
      </c>
      <c r="C79" s="50">
        <v>0.18</v>
      </c>
      <c r="D79" s="14">
        <f>D12*$C$79</f>
        <v>216</v>
      </c>
      <c r="E79" s="14">
        <f>E12*$C$79</f>
        <v>0</v>
      </c>
      <c r="F79" s="14">
        <f>F12*$C$79</f>
        <v>216</v>
      </c>
      <c r="G79" s="14">
        <f>G12*$C$79</f>
        <v>0</v>
      </c>
      <c r="H79" s="14">
        <f>H12*$C$79</f>
        <v>0</v>
      </c>
    </row>
    <row r="80" spans="2:8" x14ac:dyDescent="0.2">
      <c r="B80" s="41" t="s">
        <v>80</v>
      </c>
      <c r="C80" s="50">
        <v>0.18</v>
      </c>
      <c r="D80" s="14">
        <f>D13*$C$80</f>
        <v>360</v>
      </c>
      <c r="E80" s="14">
        <f>E13*$C$80</f>
        <v>0</v>
      </c>
      <c r="F80" s="14">
        <f>F13*$C$80</f>
        <v>0</v>
      </c>
      <c r="G80" s="14">
        <f>G13*$C$80</f>
        <v>0</v>
      </c>
      <c r="H80" s="14">
        <f>H13*$C$80</f>
        <v>0</v>
      </c>
    </row>
    <row r="81" spans="2:8" x14ac:dyDescent="0.2">
      <c r="B81" s="41" t="s">
        <v>81</v>
      </c>
      <c r="C81" s="50">
        <v>0.18</v>
      </c>
      <c r="D81" s="14">
        <f>D14*$C$81</f>
        <v>360</v>
      </c>
      <c r="E81" s="14">
        <f>E14*$C$81</f>
        <v>0</v>
      </c>
      <c r="F81" s="14">
        <f>F14*$C$81</f>
        <v>0</v>
      </c>
      <c r="G81" s="14">
        <f>G14*$C$81</f>
        <v>0</v>
      </c>
      <c r="H81" s="14">
        <f>H14*$C$81</f>
        <v>0</v>
      </c>
    </row>
    <row r="82" spans="2:8" x14ac:dyDescent="0.2">
      <c r="B82" s="44" t="s">
        <v>82</v>
      </c>
      <c r="C82" s="50">
        <v>0.18</v>
      </c>
      <c r="D82" s="14">
        <f>D15*$C$82</f>
        <v>720</v>
      </c>
      <c r="E82" s="14">
        <f>E15*$C$82</f>
        <v>1080</v>
      </c>
      <c r="F82" s="14">
        <f>F15*$C$82</f>
        <v>720</v>
      </c>
      <c r="G82" s="14">
        <f>G15*$C$82</f>
        <v>0</v>
      </c>
      <c r="H82" s="14">
        <f>H15*$C$82</f>
        <v>0</v>
      </c>
    </row>
    <row r="83" spans="2:8" x14ac:dyDescent="0.2">
      <c r="B83" s="41" t="s">
        <v>84</v>
      </c>
      <c r="C83" s="50">
        <v>0.18</v>
      </c>
      <c r="D83" s="14">
        <f>D17*$C$83</f>
        <v>6300</v>
      </c>
      <c r="E83" s="14">
        <f>E17*$C$83</f>
        <v>12600</v>
      </c>
      <c r="F83" s="14">
        <f>F17*$C$83</f>
        <v>0</v>
      </c>
      <c r="G83" s="14">
        <f>G17*$C$83</f>
        <v>0</v>
      </c>
      <c r="H83" s="14">
        <f>H17*$C$83</f>
        <v>0</v>
      </c>
    </row>
    <row r="84" spans="2:8" x14ac:dyDescent="0.2">
      <c r="B84" s="41" t="s">
        <v>85</v>
      </c>
      <c r="C84" s="50">
        <v>0.18</v>
      </c>
      <c r="D84" s="15">
        <f>D18*$C$84</f>
        <v>540</v>
      </c>
      <c r="E84" s="15">
        <f>E18*$C$84</f>
        <v>0</v>
      </c>
      <c r="F84" s="15">
        <f>F18*$C$84</f>
        <v>0</v>
      </c>
      <c r="G84" s="15">
        <f>G18*$C$84</f>
        <v>0</v>
      </c>
      <c r="H84" s="15">
        <f>H18*$C$84</f>
        <v>0</v>
      </c>
    </row>
    <row r="85" spans="2:8" x14ac:dyDescent="0.2">
      <c r="B85" s="41" t="s">
        <v>86</v>
      </c>
      <c r="C85" s="50">
        <v>0.18</v>
      </c>
      <c r="D85" s="15">
        <f>D19*$C$85</f>
        <v>297</v>
      </c>
      <c r="E85" s="15">
        <f>E19*$C$85</f>
        <v>18</v>
      </c>
      <c r="F85" s="15">
        <f>F19*$C$85</f>
        <v>126</v>
      </c>
      <c r="G85" s="15">
        <f>G19*$C$85</f>
        <v>0</v>
      </c>
      <c r="H85" s="15">
        <f>H19*$C$85</f>
        <v>0</v>
      </c>
    </row>
    <row r="86" spans="2:8" x14ac:dyDescent="0.2">
      <c r="B86" s="45" t="s">
        <v>104</v>
      </c>
      <c r="C86" s="50">
        <v>0.18</v>
      </c>
      <c r="D86" s="14">
        <f>D20*$C$86</f>
        <v>1260</v>
      </c>
      <c r="E86" s="14">
        <f>E20*$C$86</f>
        <v>0</v>
      </c>
      <c r="F86" s="14">
        <f>F20*$C$86</f>
        <v>0</v>
      </c>
      <c r="G86" s="14">
        <f>G20*$C$86</f>
        <v>0</v>
      </c>
      <c r="H86" s="14">
        <f>H20*$C$86</f>
        <v>0</v>
      </c>
    </row>
    <row r="87" spans="2:8" x14ac:dyDescent="0.2">
      <c r="B87" s="45" t="s">
        <v>88</v>
      </c>
      <c r="C87" s="50">
        <v>0.18</v>
      </c>
      <c r="D87" s="14">
        <f>D21*$C$87</f>
        <v>1080</v>
      </c>
      <c r="E87" s="14">
        <f>E21*$C$87</f>
        <v>0</v>
      </c>
      <c r="F87" s="14">
        <f>F21*$C$87</f>
        <v>0</v>
      </c>
      <c r="G87" s="14">
        <f>G21*$C$87</f>
        <v>0</v>
      </c>
      <c r="H87" s="14">
        <f>H21*$C$87</f>
        <v>0</v>
      </c>
    </row>
    <row r="88" spans="2:8" x14ac:dyDescent="0.2">
      <c r="B88" s="45" t="s">
        <v>89</v>
      </c>
      <c r="C88" s="50">
        <v>0.18</v>
      </c>
      <c r="D88" s="14">
        <f t="shared" ref="D88:D99" si="1">D22*C88</f>
        <v>540</v>
      </c>
      <c r="E88" s="15"/>
      <c r="F88" s="14"/>
      <c r="G88" s="14"/>
      <c r="H88" s="14"/>
    </row>
    <row r="89" spans="2:8" x14ac:dyDescent="0.2">
      <c r="B89" s="41" t="s">
        <v>90</v>
      </c>
      <c r="C89" s="50">
        <v>0.18</v>
      </c>
      <c r="D89" s="14">
        <f t="shared" si="1"/>
        <v>720</v>
      </c>
      <c r="E89" s="14"/>
      <c r="F89" s="14"/>
      <c r="G89" s="14"/>
      <c r="H89" s="14"/>
    </row>
    <row r="90" spans="2:8" x14ac:dyDescent="0.2">
      <c r="B90" s="41" t="s">
        <v>105</v>
      </c>
      <c r="C90" s="50">
        <v>0.18</v>
      </c>
      <c r="D90" s="14">
        <f t="shared" si="1"/>
        <v>882</v>
      </c>
      <c r="E90" s="15"/>
      <c r="F90" s="14"/>
      <c r="G90" s="14"/>
      <c r="H90" s="14"/>
    </row>
    <row r="91" spans="2:8" x14ac:dyDescent="0.2">
      <c r="B91" s="41" t="s">
        <v>92</v>
      </c>
      <c r="C91" s="50">
        <v>0.18</v>
      </c>
      <c r="D91" s="14">
        <f t="shared" si="1"/>
        <v>324</v>
      </c>
      <c r="E91" s="15"/>
      <c r="F91" s="14"/>
      <c r="G91" s="14"/>
      <c r="H91" s="14"/>
    </row>
    <row r="92" spans="2:8" x14ac:dyDescent="0.2">
      <c r="B92" s="41" t="s">
        <v>93</v>
      </c>
      <c r="C92" s="50">
        <v>0.18</v>
      </c>
      <c r="D92" s="14">
        <f t="shared" si="1"/>
        <v>270</v>
      </c>
      <c r="E92" s="15"/>
      <c r="F92" s="14"/>
      <c r="G92" s="14"/>
      <c r="H92" s="14"/>
    </row>
    <row r="93" spans="2:8" x14ac:dyDescent="0.2">
      <c r="B93" s="45" t="s">
        <v>94</v>
      </c>
      <c r="C93" s="50">
        <v>0.18</v>
      </c>
      <c r="D93" s="14">
        <f t="shared" si="1"/>
        <v>1800</v>
      </c>
      <c r="E93" s="15"/>
      <c r="F93" s="14"/>
      <c r="G93" s="14"/>
      <c r="H93" s="14"/>
    </row>
    <row r="94" spans="2:8" x14ac:dyDescent="0.2">
      <c r="B94" s="46" t="s">
        <v>95</v>
      </c>
      <c r="C94" s="50">
        <v>0.18</v>
      </c>
      <c r="D94" s="14">
        <f t="shared" si="1"/>
        <v>360</v>
      </c>
      <c r="E94" s="15"/>
      <c r="F94" s="14"/>
      <c r="G94" s="14"/>
      <c r="H94" s="14"/>
    </row>
    <row r="95" spans="2:8" x14ac:dyDescent="0.2">
      <c r="B95" s="46" t="s">
        <v>96</v>
      </c>
      <c r="C95" s="50">
        <v>0.18</v>
      </c>
      <c r="D95" s="14">
        <f t="shared" si="1"/>
        <v>180</v>
      </c>
      <c r="E95" s="56"/>
      <c r="F95" s="57"/>
      <c r="G95" s="57"/>
      <c r="H95" s="57"/>
    </row>
    <row r="96" spans="2:8" x14ac:dyDescent="0.2">
      <c r="B96" s="46" t="s">
        <v>106</v>
      </c>
      <c r="C96" s="50">
        <v>0.18</v>
      </c>
      <c r="D96" s="14">
        <f t="shared" si="1"/>
        <v>1440</v>
      </c>
      <c r="E96" s="56"/>
      <c r="F96" s="57"/>
      <c r="G96" s="57"/>
      <c r="H96" s="57"/>
    </row>
    <row r="97" spans="2:8" x14ac:dyDescent="0.2">
      <c r="B97" s="41" t="s">
        <v>98</v>
      </c>
      <c r="C97" s="50">
        <v>0.18</v>
      </c>
      <c r="D97" s="14">
        <f t="shared" si="1"/>
        <v>900</v>
      </c>
      <c r="E97" s="56"/>
      <c r="F97" s="57"/>
      <c r="G97" s="57"/>
      <c r="H97" s="57"/>
    </row>
    <row r="98" spans="2:8" x14ac:dyDescent="0.2">
      <c r="B98" s="41" t="s">
        <v>99</v>
      </c>
      <c r="C98" s="50">
        <v>0.18</v>
      </c>
      <c r="D98" s="14">
        <f t="shared" si="1"/>
        <v>1800</v>
      </c>
      <c r="E98" s="56"/>
      <c r="F98" s="57"/>
      <c r="G98" s="57"/>
      <c r="H98" s="57"/>
    </row>
    <row r="99" spans="2:8" x14ac:dyDescent="0.2">
      <c r="B99" s="41" t="s">
        <v>100</v>
      </c>
      <c r="C99" s="50">
        <v>0.18</v>
      </c>
      <c r="D99" s="14">
        <f t="shared" si="1"/>
        <v>180</v>
      </c>
      <c r="E99" s="56"/>
      <c r="F99" s="57"/>
      <c r="G99" s="57"/>
      <c r="H99" s="57"/>
    </row>
    <row r="100" spans="2:8" x14ac:dyDescent="0.2">
      <c r="B100" s="55"/>
    </row>
    <row r="101" spans="2:8" x14ac:dyDescent="0.2">
      <c r="B101" s="48" t="s">
        <v>108</v>
      </c>
      <c r="C101" s="39"/>
      <c r="D101" s="39">
        <f>SUM(D72:D100)</f>
        <v>117387</v>
      </c>
      <c r="E101" s="39">
        <f>SUM(E72:E100)</f>
        <v>15228</v>
      </c>
      <c r="F101" s="39">
        <f>SUM(F72:F100)</f>
        <v>3264</v>
      </c>
      <c r="G101" s="39">
        <f>SUM(G72:G100)</f>
        <v>312</v>
      </c>
      <c r="H101" s="39">
        <f>SUM(H72:H100)</f>
        <v>312</v>
      </c>
    </row>
  </sheetData>
  <mergeCells count="2">
    <mergeCell ref="C1:G2"/>
    <mergeCell ref="I3:K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D1:N36"/>
  <sheetViews>
    <sheetView topLeftCell="A19" zoomScale="163" zoomScaleNormal="100" workbookViewId="0">
      <selection activeCell="G36" sqref="G36"/>
    </sheetView>
  </sheetViews>
  <sheetFormatPr baseColWidth="10" defaultColWidth="8.83203125" defaultRowHeight="15" x14ac:dyDescent="0.2"/>
  <cols>
    <col min="1" max="3" width="9.1640625" customWidth="1"/>
    <col min="4" max="4" width="21.6640625" style="35" customWidth="1"/>
    <col min="5" max="5" width="17.83203125" style="35" customWidth="1"/>
    <col min="6" max="6" width="12" style="35" customWidth="1"/>
    <col min="7" max="10" width="11.83203125" style="35" customWidth="1"/>
    <col min="11" max="11" width="15.5" style="35" customWidth="1"/>
    <col min="12" max="1025" width="9.1640625" customWidth="1"/>
  </cols>
  <sheetData>
    <row r="1" spans="4:11" ht="15" customHeight="1" x14ac:dyDescent="0.2">
      <c r="D1" s="221" t="s">
        <v>109</v>
      </c>
      <c r="E1" s="221"/>
      <c r="F1" s="221"/>
      <c r="G1" s="221"/>
      <c r="H1" s="221"/>
      <c r="I1" s="221"/>
      <c r="J1" s="221"/>
      <c r="K1" s="221"/>
    </row>
    <row r="2" spans="4:11" x14ac:dyDescent="0.2">
      <c r="D2" s="221"/>
      <c r="E2" s="221"/>
      <c r="F2" s="221"/>
      <c r="G2" s="221"/>
      <c r="H2" s="221"/>
      <c r="I2" s="221"/>
      <c r="J2" s="221"/>
      <c r="K2" s="221"/>
    </row>
    <row r="3" spans="4:11" x14ac:dyDescent="0.2">
      <c r="D3" s="221"/>
      <c r="E3" s="221"/>
      <c r="F3" s="221"/>
      <c r="G3" s="221"/>
      <c r="H3" s="221"/>
      <c r="I3" s="221"/>
      <c r="J3" s="221"/>
      <c r="K3" s="221"/>
    </row>
    <row r="4" spans="4:11" x14ac:dyDescent="0.2">
      <c r="D4" s="221"/>
      <c r="E4" s="221"/>
      <c r="F4" s="221"/>
      <c r="G4" s="221"/>
      <c r="H4" s="221"/>
      <c r="I4" s="221"/>
      <c r="J4" s="221"/>
      <c r="K4" s="221"/>
    </row>
    <row r="6" spans="4:11" x14ac:dyDescent="0.2">
      <c r="D6" s="58" t="s">
        <v>110</v>
      </c>
      <c r="E6" s="58" t="s">
        <v>111</v>
      </c>
      <c r="F6" s="58" t="s">
        <v>112</v>
      </c>
      <c r="G6" s="58" t="s">
        <v>113</v>
      </c>
      <c r="H6" s="58" t="s">
        <v>114</v>
      </c>
      <c r="I6" s="58" t="s">
        <v>115</v>
      </c>
      <c r="J6" s="58" t="s">
        <v>116</v>
      </c>
      <c r="K6" s="58" t="s">
        <v>117</v>
      </c>
    </row>
    <row r="7" spans="4:11" x14ac:dyDescent="0.2">
      <c r="D7" s="41" t="s">
        <v>110</v>
      </c>
      <c r="E7" s="41"/>
      <c r="F7" s="14">
        <f>'Invest-Amort et TVA'!D36</f>
        <v>662550</v>
      </c>
      <c r="G7" s="14">
        <f>'Invest-Amort et TVA'!E36</f>
        <v>192300</v>
      </c>
      <c r="H7" s="14">
        <f>'Invest-Amort et TVA'!F36</f>
        <v>24600</v>
      </c>
      <c r="I7" s="14">
        <f>'Invest-Amort et TVA'!G36</f>
        <v>2400</v>
      </c>
      <c r="J7" s="14">
        <f>'Invest-Amort et TVA'!H36</f>
        <v>2400</v>
      </c>
      <c r="K7" s="14"/>
    </row>
    <row r="8" spans="4:11" x14ac:dyDescent="0.2">
      <c r="D8" s="58" t="s">
        <v>118</v>
      </c>
      <c r="E8" s="58"/>
      <c r="F8" s="58">
        <f>F7</f>
        <v>662550</v>
      </c>
      <c r="G8" s="58">
        <f>F8+G7</f>
        <v>854850</v>
      </c>
      <c r="H8" s="58">
        <f>G8+H7</f>
        <v>879450</v>
      </c>
      <c r="I8" s="58">
        <f>H8+I7</f>
        <v>881850</v>
      </c>
      <c r="J8" s="58">
        <f>I8+J7</f>
        <v>884250</v>
      </c>
      <c r="K8" s="58">
        <f>J8</f>
        <v>884250</v>
      </c>
    </row>
    <row r="10" spans="4:11" x14ac:dyDescent="0.2">
      <c r="D10" s="58" t="s">
        <v>119</v>
      </c>
      <c r="E10" s="58"/>
      <c r="F10" s="58" t="s">
        <v>112</v>
      </c>
      <c r="G10" s="58" t="s">
        <v>113</v>
      </c>
      <c r="H10" s="58" t="s">
        <v>114</v>
      </c>
      <c r="I10" s="58" t="s">
        <v>115</v>
      </c>
      <c r="J10" s="58" t="s">
        <v>116</v>
      </c>
      <c r="K10" s="58" t="s">
        <v>117</v>
      </c>
    </row>
    <row r="11" spans="4:11" ht="29" x14ac:dyDescent="0.2">
      <c r="D11" s="41" t="s">
        <v>120</v>
      </c>
      <c r="E11" s="41"/>
      <c r="F11" s="15">
        <f>'CA - Readspeaker et IBM Watson'!O20</f>
        <v>640575</v>
      </c>
      <c r="G11" s="15">
        <f>'CA - Readspeaker et IBM Watson'!AA20</f>
        <v>1022580</v>
      </c>
      <c r="H11" s="15">
        <f>'CA - Readspeaker et IBM Watson'!AM20</f>
        <v>1155960</v>
      </c>
      <c r="I11" s="15">
        <f>'CA - Readspeaker et IBM Watson'!AY20</f>
        <v>1289340</v>
      </c>
      <c r="J11" s="15">
        <f>'CA - Readspeaker et IBM Watson'!BK20</f>
        <v>1422720</v>
      </c>
      <c r="K11" s="15">
        <f>SUM(F11:J11)</f>
        <v>5531175</v>
      </c>
    </row>
    <row r="12" spans="4:11" ht="29" x14ac:dyDescent="0.2">
      <c r="D12" s="41" t="s">
        <v>121</v>
      </c>
      <c r="E12" s="41"/>
      <c r="F12" s="15">
        <f>'CA - Readspeaker et IBM Watson'!O41</f>
        <v>267644.15215200005</v>
      </c>
      <c r="G12" s="15">
        <f>'CA - Readspeaker et IBM Watson'!AA41</f>
        <v>374219.58787200012</v>
      </c>
      <c r="H12" s="15">
        <f>'CA - Readspeaker et IBM Watson'!AM41</f>
        <v>403042.708224</v>
      </c>
      <c r="I12" s="15">
        <f>'CA - Readspeaker et IBM Watson'!AY41</f>
        <v>427367.51366400014</v>
      </c>
      <c r="J12" s="15">
        <f>'CA - Readspeaker et IBM Watson'!BK41</f>
        <v>447103.32825599989</v>
      </c>
      <c r="K12" s="15">
        <f>SUM(F12:J12)</f>
        <v>1919377.2901680002</v>
      </c>
    </row>
    <row r="13" spans="4:11" x14ac:dyDescent="0.2">
      <c r="D13" s="41" t="s">
        <v>122</v>
      </c>
      <c r="E13" s="41"/>
      <c r="F13" s="15">
        <f>'CA Visiophonie'!L20</f>
        <v>197220</v>
      </c>
      <c r="G13" s="15">
        <f>'CA Visiophonie'!AJ20</f>
        <v>314640</v>
      </c>
      <c r="H13" s="15">
        <f>'CA Visiophonie'!BH20</f>
        <v>355680</v>
      </c>
      <c r="I13" s="15">
        <f>'CA Visiophonie'!CF20</f>
        <v>396720</v>
      </c>
      <c r="J13" s="15">
        <f>'CA Visiophonie'!DD20</f>
        <v>437760</v>
      </c>
      <c r="K13" s="15">
        <f>SUM(F13:J13)</f>
        <v>1702020</v>
      </c>
    </row>
    <row r="14" spans="4:11" x14ac:dyDescent="0.2">
      <c r="D14" s="58" t="s">
        <v>123</v>
      </c>
      <c r="E14" s="58"/>
      <c r="F14" s="59">
        <f t="shared" ref="F14:K14" si="0">SUM(F11:F13)</f>
        <v>1105439.152152</v>
      </c>
      <c r="G14" s="59">
        <f t="shared" si="0"/>
        <v>1711439.5878720002</v>
      </c>
      <c r="H14" s="59">
        <f t="shared" si="0"/>
        <v>1914682.7082239999</v>
      </c>
      <c r="I14" s="59">
        <f t="shared" si="0"/>
        <v>2113427.5136640002</v>
      </c>
      <c r="J14" s="59">
        <f t="shared" si="0"/>
        <v>2307583.3282559998</v>
      </c>
      <c r="K14" s="59">
        <f t="shared" si="0"/>
        <v>9152572.2901680004</v>
      </c>
    </row>
    <row r="15" spans="4:11" x14ac:dyDescent="0.2">
      <c r="D15" s="41" t="s">
        <v>124</v>
      </c>
      <c r="E15" s="41"/>
      <c r="F15" s="15">
        <f>'CHIFFRE D''AFFAIRE B2B'!I15</f>
        <v>40685.760000000009</v>
      </c>
      <c r="G15" s="15">
        <f>'CHIFFRE D''AFFAIRE B2B'!U15</f>
        <v>71314.559999999998</v>
      </c>
      <c r="H15" s="15">
        <f>'CHIFFRE D''AFFAIRE B2B'!AG15</f>
        <v>67944.959999999992</v>
      </c>
      <c r="I15" s="15">
        <f>'CHIFFRE D''AFFAIRE B2B'!AS15</f>
        <v>84931.199999999983</v>
      </c>
      <c r="J15" s="15">
        <f>'CHIFFRE D''AFFAIRE B2B'!BE15</f>
        <v>84931.199999999983</v>
      </c>
      <c r="K15" s="15">
        <f>SUM(F15:J15)</f>
        <v>349807.67999999993</v>
      </c>
    </row>
    <row r="16" spans="4:11" x14ac:dyDescent="0.2">
      <c r="D16" s="41" t="s">
        <v>125</v>
      </c>
      <c r="E16" s="41"/>
      <c r="F16" s="15">
        <f>'CA - Visiophonie - B2B'!H19</f>
        <v>28761.25</v>
      </c>
      <c r="G16" s="15">
        <f>'CA - Visiophonie - B2B'!T19</f>
        <v>45885</v>
      </c>
      <c r="H16" s="15">
        <f>'CA - Visiophonie - B2B'!AF19</f>
        <v>51870</v>
      </c>
      <c r="I16" s="15">
        <f>'CA - Visiophonie - B2B'!AR19</f>
        <v>57855</v>
      </c>
      <c r="J16" s="15">
        <f>'CA - Visiophonie - B2B'!BD19</f>
        <v>63840</v>
      </c>
      <c r="K16" s="15">
        <f>SUM(F16:J16)</f>
        <v>248211.25</v>
      </c>
    </row>
    <row r="17" spans="4:14" ht="29" x14ac:dyDescent="0.2">
      <c r="D17" s="41" t="s">
        <v>126</v>
      </c>
      <c r="E17" s="41"/>
      <c r="F17" s="14"/>
      <c r="G17" s="14"/>
      <c r="H17" s="14">
        <f>'Charges d''exploitation'!H99</f>
        <v>300000</v>
      </c>
      <c r="I17" s="14"/>
      <c r="J17" s="14"/>
      <c r="K17" s="14"/>
    </row>
    <row r="18" spans="4:14" x14ac:dyDescent="0.2">
      <c r="D18" s="58" t="s">
        <v>127</v>
      </c>
      <c r="E18" s="58"/>
      <c r="F18" s="59">
        <f t="shared" ref="F18:K18" si="1">SUM(F15:F17)</f>
        <v>69447.010000000009</v>
      </c>
      <c r="G18" s="59">
        <f t="shared" si="1"/>
        <v>117199.56</v>
      </c>
      <c r="H18" s="59">
        <f t="shared" si="1"/>
        <v>419814.95999999996</v>
      </c>
      <c r="I18" s="59">
        <f t="shared" si="1"/>
        <v>142786.19999999998</v>
      </c>
      <c r="J18" s="59">
        <f t="shared" si="1"/>
        <v>148771.19999999998</v>
      </c>
      <c r="K18" s="59">
        <f t="shared" si="1"/>
        <v>598018.92999999993</v>
      </c>
    </row>
    <row r="19" spans="4:14" x14ac:dyDescent="0.2">
      <c r="D19" s="58" t="s">
        <v>128</v>
      </c>
      <c r="E19" s="58"/>
      <c r="F19" s="59">
        <f t="shared" ref="F19:K19" si="2">F14+F18</f>
        <v>1174886.162152</v>
      </c>
      <c r="G19" s="59">
        <f t="shared" si="2"/>
        <v>1828639.1478720002</v>
      </c>
      <c r="H19" s="59">
        <f t="shared" si="2"/>
        <v>2334497.6682239999</v>
      </c>
      <c r="I19" s="59">
        <f t="shared" si="2"/>
        <v>2256213.7136640004</v>
      </c>
      <c r="J19" s="59">
        <f t="shared" si="2"/>
        <v>2456354.528256</v>
      </c>
      <c r="K19" s="59">
        <f t="shared" si="2"/>
        <v>9750591.2201680001</v>
      </c>
    </row>
    <row r="20" spans="4:14" x14ac:dyDescent="0.2">
      <c r="D20" s="58" t="s">
        <v>129</v>
      </c>
      <c r="E20" s="58"/>
      <c r="F20" s="58" t="s">
        <v>112</v>
      </c>
      <c r="G20" s="58" t="s">
        <v>113</v>
      </c>
      <c r="H20" s="58" t="s">
        <v>114</v>
      </c>
      <c r="I20" s="58" t="s">
        <v>115</v>
      </c>
      <c r="J20" s="58" t="s">
        <v>116</v>
      </c>
      <c r="K20" s="58" t="s">
        <v>117</v>
      </c>
      <c r="N20" s="60"/>
    </row>
    <row r="21" spans="4:14" x14ac:dyDescent="0.2">
      <c r="D21" s="41" t="s">
        <v>130</v>
      </c>
      <c r="E21" s="41"/>
      <c r="F21" s="39">
        <f>'Charges d''exploitation'!O17</f>
        <v>12000</v>
      </c>
      <c r="G21" s="39">
        <f>'Charges d''exploitation'!O60</f>
        <v>16200</v>
      </c>
      <c r="H21" s="39">
        <f>'Charges d''exploitation'!O106</f>
        <v>16800</v>
      </c>
      <c r="I21" s="39">
        <f>'Charges d''exploitation'!O145</f>
        <v>16800</v>
      </c>
      <c r="J21" s="39">
        <f>'Charges d''exploitation'!O190</f>
        <v>17400</v>
      </c>
      <c r="K21" s="42">
        <f>SUM(F21:J21)</f>
        <v>79200</v>
      </c>
    </row>
    <row r="22" spans="4:14" x14ac:dyDescent="0.2">
      <c r="D22" s="41" t="s">
        <v>131</v>
      </c>
      <c r="E22" s="41"/>
      <c r="F22" s="43">
        <f>'Charges d''exploitation'!O29</f>
        <v>155265.09000000003</v>
      </c>
      <c r="G22" s="43">
        <f>'Charges d''exploitation'!O72</f>
        <v>155428.03999999998</v>
      </c>
      <c r="H22" s="43">
        <f>'Charges d''exploitation'!O120</f>
        <v>249208.3</v>
      </c>
      <c r="I22" s="43">
        <f>'Charges d''exploitation'!O159</f>
        <v>310287.64</v>
      </c>
      <c r="J22" s="43">
        <f>'Charges d''exploitation'!O203</f>
        <v>250892.32</v>
      </c>
      <c r="K22" s="43">
        <f>SUM(F22:J22)</f>
        <v>1121081.3899999999</v>
      </c>
    </row>
    <row r="23" spans="4:14" x14ac:dyDescent="0.2">
      <c r="D23" s="41" t="s">
        <v>132</v>
      </c>
      <c r="E23" s="41"/>
      <c r="F23" s="42">
        <f>'Invest-Amort et TVA'!D101</f>
        <v>117387</v>
      </c>
      <c r="G23" s="42">
        <f>'Invest-Amort et TVA'!E101</f>
        <v>15228</v>
      </c>
      <c r="H23" s="42">
        <f>'Invest-Amort et TVA'!F101</f>
        <v>3264</v>
      </c>
      <c r="I23" s="42">
        <f>'Invest-Amort et TVA'!G101</f>
        <v>312</v>
      </c>
      <c r="J23" s="42">
        <f>'Invest-Amort et TVA'!H101</f>
        <v>312</v>
      </c>
      <c r="K23" s="42">
        <f>SUM(F23:J23)</f>
        <v>136503</v>
      </c>
      <c r="N23" s="19"/>
    </row>
    <row r="24" spans="4:14" ht="29" x14ac:dyDescent="0.2">
      <c r="D24" s="41" t="s">
        <v>133</v>
      </c>
      <c r="E24" s="41"/>
      <c r="F24" s="43">
        <f>'Budget RH en nombre TTC'!C50</f>
        <v>310292.30769230769</v>
      </c>
      <c r="G24" s="43">
        <f>'Budget RH en nombre TTC'!E50</f>
        <v>379204.61538461538</v>
      </c>
      <c r="H24" s="43">
        <f>'Budget RH en nombre TTC'!G50</f>
        <v>544220.30769230763</v>
      </c>
      <c r="I24" s="43">
        <f>'Budget RH en nombre TTC'!I50</f>
        <v>562019.12307692308</v>
      </c>
      <c r="J24" s="43">
        <f>'Budget RH en nombre TTC'!K50</f>
        <v>582487.76076923066</v>
      </c>
      <c r="K24" s="43">
        <f>SUM(F24:J24)</f>
        <v>2378224.1146153845</v>
      </c>
    </row>
    <row r="25" spans="4:14" x14ac:dyDescent="0.2">
      <c r="D25" s="41" t="s">
        <v>134</v>
      </c>
      <c r="E25" s="41"/>
      <c r="F25" s="43">
        <f>'Budget RH en nombre TTC'!C51</f>
        <v>93087.692307692312</v>
      </c>
      <c r="G25" s="43">
        <f>'Budget RH en nombre TTC'!E51</f>
        <v>113761.38461538462</v>
      </c>
      <c r="H25" s="43">
        <f>'Budget RH en nombre TTC'!G51</f>
        <v>163266.09230769228</v>
      </c>
      <c r="I25" s="43">
        <f>'Budget RH en nombre TTC'!I51</f>
        <v>168605.73692307691</v>
      </c>
      <c r="J25" s="43">
        <f>'Budget RH en nombre TTC'!K51</f>
        <v>174746.32823076926</v>
      </c>
      <c r="K25" s="43">
        <f>SUM(F25:J25)</f>
        <v>713467.23438461532</v>
      </c>
    </row>
    <row r="26" spans="4:14" ht="28" x14ac:dyDescent="0.2">
      <c r="D26" s="58" t="s">
        <v>135</v>
      </c>
      <c r="E26" s="58"/>
      <c r="F26" s="59">
        <f t="shared" ref="F26:K26" si="3">SUM(F21:F25)</f>
        <v>688032.09000000008</v>
      </c>
      <c r="G26" s="59">
        <f t="shared" si="3"/>
        <v>679822.03999999992</v>
      </c>
      <c r="H26" s="59">
        <f t="shared" si="3"/>
        <v>976758.69999999984</v>
      </c>
      <c r="I26" s="59">
        <f t="shared" si="3"/>
        <v>1058024.5</v>
      </c>
      <c r="J26" s="59">
        <f t="shared" si="3"/>
        <v>1025838.4089999999</v>
      </c>
      <c r="K26" s="59">
        <f t="shared" si="3"/>
        <v>4428475.7389999991</v>
      </c>
    </row>
    <row r="27" spans="4:14" x14ac:dyDescent="0.2">
      <c r="D27" s="58" t="s">
        <v>136</v>
      </c>
      <c r="E27" s="58"/>
      <c r="F27" s="59">
        <f>+F19-F26</f>
        <v>486854.07215199992</v>
      </c>
      <c r="G27" s="59">
        <f t="shared" ref="G27:K27" si="4">+G19-G26</f>
        <v>1148817.1078720004</v>
      </c>
      <c r="H27" s="59">
        <f t="shared" si="4"/>
        <v>1357738.9682240002</v>
      </c>
      <c r="I27" s="59">
        <f t="shared" si="4"/>
        <v>1198189.2136640004</v>
      </c>
      <c r="J27" s="59">
        <f t="shared" si="4"/>
        <v>1430516.119256</v>
      </c>
      <c r="K27" s="59">
        <f t="shared" si="4"/>
        <v>5322115.481168001</v>
      </c>
    </row>
    <row r="28" spans="4:14" x14ac:dyDescent="0.2">
      <c r="D28" s="58" t="s">
        <v>137</v>
      </c>
      <c r="E28" s="58"/>
      <c r="F28" s="59">
        <f t="shared" ref="F28:K28" si="5">+F27/F18</f>
        <v>7.0104396453065414</v>
      </c>
      <c r="G28" s="59">
        <f t="shared" si="5"/>
        <v>9.8022305533570293</v>
      </c>
      <c r="H28" s="59">
        <f t="shared" si="5"/>
        <v>3.2341366973297005</v>
      </c>
      <c r="I28" s="59">
        <f t="shared" si="5"/>
        <v>8.3914917104314046</v>
      </c>
      <c r="J28" s="59">
        <f t="shared" si="5"/>
        <v>9.6155446703125342</v>
      </c>
      <c r="K28" s="59">
        <f t="shared" si="5"/>
        <v>8.8995769434389</v>
      </c>
    </row>
    <row r="29" spans="4:14" x14ac:dyDescent="0.2">
      <c r="D29" s="58" t="s">
        <v>68</v>
      </c>
      <c r="E29" s="58"/>
      <c r="F29" s="59">
        <f>'Invest-Amort et TVA'!D68</f>
        <v>133370</v>
      </c>
      <c r="G29" s="59">
        <f>'Invest-Amort et TVA'!E68</f>
        <v>150770</v>
      </c>
      <c r="H29" s="59">
        <f>'Invest-Amort et TVA'!F68</f>
        <v>152630</v>
      </c>
      <c r="I29" s="59">
        <f>'Invest-Amort et TVA'!G68</f>
        <v>152710</v>
      </c>
      <c r="J29" s="59">
        <f>'Invest-Amort et TVA'!H68</f>
        <v>152790</v>
      </c>
      <c r="K29" s="59">
        <f>SUM(F29:J29)</f>
        <v>742270</v>
      </c>
    </row>
    <row r="30" spans="4:14" x14ac:dyDescent="0.2">
      <c r="D30" s="58" t="s">
        <v>138</v>
      </c>
      <c r="E30" s="58"/>
      <c r="F30" s="59">
        <f t="shared" ref="F30:K30" si="6">+F27-F29</f>
        <v>353484.07215199992</v>
      </c>
      <c r="G30" s="59">
        <f t="shared" si="6"/>
        <v>998047.10787200043</v>
      </c>
      <c r="H30" s="59">
        <f t="shared" si="6"/>
        <v>1205108.9682240002</v>
      </c>
      <c r="I30" s="59">
        <f t="shared" si="6"/>
        <v>1045479.2136640004</v>
      </c>
      <c r="J30" s="59">
        <f t="shared" si="6"/>
        <v>1277726.119256</v>
      </c>
      <c r="K30" s="59">
        <f t="shared" si="6"/>
        <v>4579845.481168001</v>
      </c>
    </row>
    <row r="31" spans="4:14" x14ac:dyDescent="0.2">
      <c r="D31" s="58" t="s">
        <v>137</v>
      </c>
      <c r="E31" s="58"/>
      <c r="F31" s="59">
        <f t="shared" ref="F31:K31" si="7">+F30/F18</f>
        <v>5.0899825946718202</v>
      </c>
      <c r="G31" s="59">
        <f t="shared" si="7"/>
        <v>8.5157922766262981</v>
      </c>
      <c r="H31" s="59">
        <f t="shared" si="7"/>
        <v>2.8705717591007245</v>
      </c>
      <c r="I31" s="59">
        <f t="shared" si="7"/>
        <v>7.3219905961780656</v>
      </c>
      <c r="J31" s="59">
        <f t="shared" si="7"/>
        <v>8.5885313774171355</v>
      </c>
      <c r="K31" s="59">
        <f t="shared" si="7"/>
        <v>7.6583620541376529</v>
      </c>
    </row>
    <row r="32" spans="4:14" x14ac:dyDescent="0.2">
      <c r="D32" s="58" t="s">
        <v>139</v>
      </c>
      <c r="E32" s="58"/>
      <c r="F32" s="59">
        <f>+F30</f>
        <v>353484.07215199992</v>
      </c>
      <c r="G32" s="59">
        <f>+G30</f>
        <v>998047.10787200043</v>
      </c>
      <c r="H32" s="59">
        <f>+H30</f>
        <v>1205108.9682240002</v>
      </c>
      <c r="I32" s="59">
        <f>+I30</f>
        <v>1045479.2136640004</v>
      </c>
      <c r="J32" s="59">
        <f>+J30</f>
        <v>1277726.119256</v>
      </c>
      <c r="K32" s="59"/>
    </row>
    <row r="33" spans="4:11" x14ac:dyDescent="0.2">
      <c r="D33" s="48" t="s">
        <v>140</v>
      </c>
      <c r="E33" s="57"/>
      <c r="F33" s="15">
        <f>+IF(F32&gt;0,F30*0.25,0)</f>
        <v>88371.01803799998</v>
      </c>
      <c r="G33" s="15">
        <f>+IF(G32&gt;0,G30*0.25,0)</f>
        <v>249511.77696800011</v>
      </c>
      <c r="H33" s="15">
        <f>+IF(H32&gt;0,H30*0.25,0)</f>
        <v>301277.24205600005</v>
      </c>
      <c r="I33" s="15">
        <f>+IF(I32&gt;0,I30*0.25,0)</f>
        <v>261369.8034160001</v>
      </c>
      <c r="J33" s="15">
        <f>+IF(J32&gt;0,J30*0.25,0)</f>
        <v>319431.52981400001</v>
      </c>
      <c r="K33" s="61">
        <f>SUM(F33:J33)</f>
        <v>1219961.3702920002</v>
      </c>
    </row>
    <row r="34" spans="4:11" x14ac:dyDescent="0.2">
      <c r="D34" s="48" t="s">
        <v>141</v>
      </c>
      <c r="E34" s="57"/>
      <c r="F34" s="62">
        <f>+F32-F33</f>
        <v>265113.05411399994</v>
      </c>
      <c r="G34" s="62">
        <f>+G30-G33</f>
        <v>748535.33090400032</v>
      </c>
      <c r="H34" s="62">
        <f>+H30-H33</f>
        <v>903831.72616800014</v>
      </c>
      <c r="I34" s="62">
        <f>+I30-I33</f>
        <v>784109.41024800029</v>
      </c>
      <c r="J34" s="62">
        <f>+J30-J33</f>
        <v>958294.58944200003</v>
      </c>
      <c r="K34" s="61">
        <f>SUM(F34:J34)</f>
        <v>3659884.1108760005</v>
      </c>
    </row>
    <row r="35" spans="4:11" x14ac:dyDescent="0.2">
      <c r="D35" s="41" t="s">
        <v>142</v>
      </c>
      <c r="E35" s="57"/>
      <c r="F35" s="62">
        <f>+F34+F29</f>
        <v>398483.05411399994</v>
      </c>
      <c r="G35" s="62">
        <f>+G34+G29</f>
        <v>899305.33090400032</v>
      </c>
      <c r="H35" s="62">
        <f>+H34+H29</f>
        <v>1056461.7261680001</v>
      </c>
      <c r="I35" s="62">
        <f>+I34+I29</f>
        <v>936819.41024800029</v>
      </c>
      <c r="J35" s="62">
        <f>+J34+J29</f>
        <v>1111084.589442</v>
      </c>
      <c r="K35" s="61">
        <f>SUM(F35:J35)</f>
        <v>4402154.1108760005</v>
      </c>
    </row>
    <row r="36" spans="4:11" x14ac:dyDescent="0.2">
      <c r="D36" s="41" t="s">
        <v>143</v>
      </c>
      <c r="E36" s="57"/>
      <c r="F36" s="15">
        <f>+F35</f>
        <v>398483.05411399994</v>
      </c>
      <c r="G36" s="15">
        <f>+F36+G35</f>
        <v>1297788.3850180004</v>
      </c>
      <c r="H36" s="15">
        <f>+G36+H35</f>
        <v>2354250.1111860005</v>
      </c>
      <c r="I36" s="15">
        <f>+H36+I35</f>
        <v>3291069.5214340007</v>
      </c>
      <c r="J36" s="15">
        <f>+I36+J35</f>
        <v>4402154.1108760005</v>
      </c>
      <c r="K36" s="57"/>
    </row>
  </sheetData>
  <mergeCells count="1">
    <mergeCell ref="D1:K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206"/>
  <sheetViews>
    <sheetView tabSelected="1" zoomScale="183" zoomScaleNormal="100" workbookViewId="0">
      <selection activeCell="F38" sqref="F38"/>
    </sheetView>
  </sheetViews>
  <sheetFormatPr baseColWidth="10" defaultColWidth="8.83203125" defaultRowHeight="15" x14ac:dyDescent="0.2"/>
  <cols>
    <col min="1" max="1" width="10.6640625" customWidth="1"/>
    <col min="2" max="2" width="25.33203125" style="63" customWidth="1"/>
    <col min="3" max="10" width="12.5" customWidth="1"/>
    <col min="11" max="11" width="10.6640625" customWidth="1"/>
    <col min="12" max="12" width="12.5" customWidth="1"/>
    <col min="13" max="13" width="10.5" customWidth="1"/>
    <col min="14" max="14" width="10.6640625" customWidth="1"/>
    <col min="15" max="15" width="13.6640625" customWidth="1"/>
    <col min="16" max="1025" width="9.1640625" customWidth="1"/>
  </cols>
  <sheetData>
    <row r="1" spans="1:17" s="35" customFormat="1" ht="31.5" customHeight="1" x14ac:dyDescent="0.2">
      <c r="B1" s="211" t="s">
        <v>144</v>
      </c>
      <c r="C1" s="211"/>
      <c r="D1" s="211"/>
      <c r="E1" s="211"/>
      <c r="F1" s="211"/>
      <c r="G1" s="211"/>
      <c r="H1" s="211"/>
      <c r="I1" s="211"/>
      <c r="J1" s="211"/>
      <c r="K1" s="211"/>
      <c r="L1" s="211"/>
      <c r="O1" s="64"/>
      <c r="P1" s="65"/>
    </row>
    <row r="2" spans="1:17" s="35" customFormat="1" ht="12.75" customHeight="1" x14ac:dyDescent="0.2">
      <c r="B2" s="66"/>
      <c r="O2" s="64"/>
      <c r="P2" s="65"/>
    </row>
    <row r="3" spans="1:17" ht="12.75" customHeight="1" x14ac:dyDescent="0.2">
      <c r="A3" s="35"/>
      <c r="B3" s="67"/>
      <c r="C3" s="39" t="s">
        <v>145</v>
      </c>
      <c r="D3" s="39" t="s">
        <v>146</v>
      </c>
      <c r="E3" s="39" t="s">
        <v>147</v>
      </c>
      <c r="F3" s="39" t="s">
        <v>148</v>
      </c>
      <c r="G3" s="39" t="s">
        <v>149</v>
      </c>
      <c r="H3" s="39" t="s">
        <v>150</v>
      </c>
      <c r="I3" s="39" t="s">
        <v>151</v>
      </c>
      <c r="J3" s="39" t="s">
        <v>152</v>
      </c>
      <c r="K3" s="39" t="s">
        <v>153</v>
      </c>
      <c r="L3" s="39" t="s">
        <v>154</v>
      </c>
      <c r="M3" s="39" t="s">
        <v>155</v>
      </c>
      <c r="N3" s="39" t="s">
        <v>156</v>
      </c>
      <c r="O3" s="68" t="s">
        <v>157</v>
      </c>
      <c r="P3" s="69"/>
    </row>
    <row r="4" spans="1:17" ht="12.75" customHeight="1" x14ac:dyDescent="0.2">
      <c r="A4" s="35"/>
      <c r="B4" s="70" t="s">
        <v>158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2"/>
      <c r="P4" s="65"/>
    </row>
    <row r="5" spans="1:17" s="35" customFormat="1" ht="12.75" customHeight="1" x14ac:dyDescent="0.2">
      <c r="B5" s="73" t="s">
        <v>159</v>
      </c>
      <c r="C5" s="74">
        <f>'CA - Readspeaker et IBM Watson'!O19</f>
        <v>7020</v>
      </c>
      <c r="D5" s="74">
        <f>'CA - Readspeaker et IBM Watson'!P19</f>
        <v>14820</v>
      </c>
      <c r="E5" s="74">
        <f>'CA - Readspeaker et IBM Watson'!Q19</f>
        <v>22230</v>
      </c>
      <c r="F5" s="74">
        <f>'CA - Readspeaker et IBM Watson'!R19</f>
        <v>37050</v>
      </c>
      <c r="G5" s="74">
        <f>'CA - Readspeaker et IBM Watson'!S19</f>
        <v>51870</v>
      </c>
      <c r="H5" s="74">
        <f>'CA - Readspeaker et IBM Watson'!T19</f>
        <v>62985</v>
      </c>
      <c r="I5" s="74">
        <f>'CA - Readspeaker et IBM Watson'!U19</f>
        <v>74100</v>
      </c>
      <c r="J5" s="74">
        <f>'CA - Readspeaker et IBM Watson'!V19</f>
        <v>74100</v>
      </c>
      <c r="K5" s="74">
        <f>'CA - Readspeaker et IBM Watson'!W19</f>
        <v>74100</v>
      </c>
      <c r="L5" s="74">
        <f>'CA - Readspeaker et IBM Watson'!X19</f>
        <v>74100</v>
      </c>
      <c r="M5" s="74">
        <f>'CA - Readspeaker et IBM Watson'!Y19</f>
        <v>74100</v>
      </c>
      <c r="N5" s="74">
        <f>'CA - Readspeaker et IBM Watson'!Z19</f>
        <v>74100</v>
      </c>
      <c r="O5" s="75">
        <f>SUM(C5:N5)</f>
        <v>640575</v>
      </c>
      <c r="P5" s="65"/>
    </row>
    <row r="6" spans="1:17" s="35" customFormat="1" ht="12.75" customHeight="1" x14ac:dyDescent="0.2">
      <c r="B6" s="73" t="s">
        <v>160</v>
      </c>
      <c r="C6" s="74">
        <f>'CA - Readspeaker et IBM Watson'!O40</f>
        <v>3094.1520480000008</v>
      </c>
      <c r="D6" s="74">
        <f>'CA - Readspeaker et IBM Watson'!P40</f>
        <v>6188.3040960000017</v>
      </c>
      <c r="E6" s="74">
        <f>'CA - Readspeaker et IBM Watson'!Q40</f>
        <v>9282.4561440000016</v>
      </c>
      <c r="F6" s="74">
        <f>'CA - Readspeaker et IBM Watson'!R40</f>
        <v>15470.760240000001</v>
      </c>
      <c r="G6" s="74">
        <f>'CA - Readspeaker et IBM Watson'!S40</f>
        <v>21659.064336000003</v>
      </c>
      <c r="H6" s="74">
        <f>'CA - Readspeaker et IBM Watson'!T40</f>
        <v>26300.292408000005</v>
      </c>
      <c r="I6" s="74">
        <f>'CA - Readspeaker et IBM Watson'!U40</f>
        <v>30941.520480000003</v>
      </c>
      <c r="J6" s="74">
        <f>'CA - Readspeaker et IBM Watson'!V40</f>
        <v>30941.520480000003</v>
      </c>
      <c r="K6" s="74">
        <f>'CA - Readspeaker et IBM Watson'!W40</f>
        <v>30941.520480000003</v>
      </c>
      <c r="L6" s="74">
        <f>'CA - Readspeaker et IBM Watson'!X40</f>
        <v>30941.520480000003</v>
      </c>
      <c r="M6" s="74">
        <f>'CA - Readspeaker et IBM Watson'!Y40</f>
        <v>30941.520480000003</v>
      </c>
      <c r="N6" s="74">
        <f>'CA - Readspeaker et IBM Watson'!Z40</f>
        <v>30941.520480000003</v>
      </c>
      <c r="O6" s="75">
        <f>SUM(C6:N6)</f>
        <v>267644.15215200005</v>
      </c>
      <c r="P6" s="65"/>
    </row>
    <row r="7" spans="1:17" s="35" customFormat="1" ht="12.75" customHeight="1" x14ac:dyDescent="0.2">
      <c r="B7" s="73" t="s">
        <v>161</v>
      </c>
      <c r="C7" s="74">
        <f>'CA Visiophonie'!L19</f>
        <v>2280</v>
      </c>
      <c r="D7" s="74">
        <f>'CA Visiophonie'!N19</f>
        <v>4560</v>
      </c>
      <c r="E7" s="74">
        <f>'CA Visiophonie'!P19</f>
        <v>6840</v>
      </c>
      <c r="F7" s="74">
        <f>'CA Visiophonie'!R19</f>
        <v>11400</v>
      </c>
      <c r="G7" s="74">
        <f>'CA Visiophonie'!T19</f>
        <v>15960</v>
      </c>
      <c r="H7" s="74">
        <f>'CA Visiophonie'!V19</f>
        <v>19380</v>
      </c>
      <c r="I7" s="74">
        <f>'CA Visiophonie'!X19</f>
        <v>22800</v>
      </c>
      <c r="J7" s="74">
        <f>'CA Visiophonie'!Z19</f>
        <v>22800</v>
      </c>
      <c r="K7" s="74">
        <f>'CA Visiophonie'!AB19</f>
        <v>22800</v>
      </c>
      <c r="L7" s="74">
        <f>'CA Visiophonie'!AD19</f>
        <v>22800</v>
      </c>
      <c r="M7" s="74">
        <f>'CA Visiophonie'!AF19</f>
        <v>22800</v>
      </c>
      <c r="N7" s="74">
        <f>'CA Visiophonie'!AH19</f>
        <v>22800</v>
      </c>
      <c r="O7" s="75">
        <f>SUM(C7:N7)</f>
        <v>197220</v>
      </c>
      <c r="P7" s="65"/>
    </row>
    <row r="8" spans="1:17" s="35" customFormat="1" ht="12.75" customHeight="1" x14ac:dyDescent="0.2">
      <c r="A8" s="16"/>
      <c r="B8" s="76" t="s">
        <v>162</v>
      </c>
      <c r="C8" s="77">
        <f t="shared" ref="C8:O8" si="0">SUM(C5:C7)</f>
        <v>12394.152048</v>
      </c>
      <c r="D8" s="77">
        <f t="shared" si="0"/>
        <v>25568.304096</v>
      </c>
      <c r="E8" s="77">
        <f t="shared" si="0"/>
        <v>38352.456144000003</v>
      </c>
      <c r="F8" s="77">
        <f t="shared" si="0"/>
        <v>63920.760240000003</v>
      </c>
      <c r="G8" s="77">
        <f t="shared" si="0"/>
        <v>89489.06433600001</v>
      </c>
      <c r="H8" s="77">
        <f t="shared" si="0"/>
        <v>108665.29240800001</v>
      </c>
      <c r="I8" s="77">
        <f t="shared" si="0"/>
        <v>127841.52048000001</v>
      </c>
      <c r="J8" s="77">
        <f t="shared" si="0"/>
        <v>127841.52048000001</v>
      </c>
      <c r="K8" s="77">
        <f t="shared" si="0"/>
        <v>127841.52048000001</v>
      </c>
      <c r="L8" s="77">
        <f t="shared" si="0"/>
        <v>127841.52048000001</v>
      </c>
      <c r="M8" s="77">
        <f t="shared" si="0"/>
        <v>127841.52048000001</v>
      </c>
      <c r="N8" s="77">
        <f t="shared" si="0"/>
        <v>127841.52048000001</v>
      </c>
      <c r="O8" s="77">
        <f t="shared" si="0"/>
        <v>1105439.152152</v>
      </c>
      <c r="P8" s="78"/>
      <c r="Q8" s="78"/>
    </row>
    <row r="9" spans="1:17" ht="12.75" customHeight="1" x14ac:dyDescent="0.2">
      <c r="B9" s="73" t="s">
        <v>124</v>
      </c>
      <c r="C9" s="74">
        <f>'CHIFFRE D''AFFAIRE B2B'!I14</f>
        <v>0</v>
      </c>
      <c r="D9" s="74">
        <f>'CHIFFRE D''AFFAIRE B2B'!J14</f>
        <v>0</v>
      </c>
      <c r="E9" s="74">
        <f>'CHIFFRE D''AFFAIRE B2B'!K14</f>
        <v>0</v>
      </c>
      <c r="F9" s="74">
        <f>'CHIFFRE D''AFFAIRE B2B'!L14</f>
        <v>0</v>
      </c>
      <c r="G9" s="74">
        <f>'CHIFFRE D''AFFAIRE B2B'!M14</f>
        <v>0</v>
      </c>
      <c r="H9" s="74">
        <f>'CHIFFRE D''AFFAIRE B2B'!N14</f>
        <v>0</v>
      </c>
      <c r="I9" s="74">
        <f>'CHIFFRE D''AFFAIRE B2B'!O14</f>
        <v>0</v>
      </c>
      <c r="J9" s="74">
        <f>'CHIFFRE D''AFFAIRE B2B'!P14</f>
        <v>0</v>
      </c>
      <c r="K9" s="74">
        <f>'CHIFFRE D''AFFAIRE B2B'!Q14</f>
        <v>20342.880000000005</v>
      </c>
      <c r="L9" s="74">
        <f>'CHIFFRE D''AFFAIRE B2B'!R14</f>
        <v>0</v>
      </c>
      <c r="M9" s="74">
        <f>'CHIFFRE D''AFFAIRE B2B'!S14</f>
        <v>0</v>
      </c>
      <c r="N9" s="74">
        <f>'CHIFFRE D''AFFAIRE B2B'!T14</f>
        <v>20342.880000000005</v>
      </c>
      <c r="O9" s="75">
        <f>SUM(C9:N9)</f>
        <v>40685.760000000009</v>
      </c>
      <c r="P9" s="65"/>
    </row>
    <row r="10" spans="1:17" ht="12.75" customHeight="1" x14ac:dyDescent="0.2">
      <c r="B10" s="73" t="s">
        <v>125</v>
      </c>
      <c r="C10" s="74">
        <f>'CA - Visiophonie - B2B'!H18</f>
        <v>332.5</v>
      </c>
      <c r="D10" s="74">
        <f>'CA - Visiophonie - B2B'!I18</f>
        <v>665</v>
      </c>
      <c r="E10" s="74">
        <f>'CA - Visiophonie - B2B'!J18</f>
        <v>997.5</v>
      </c>
      <c r="F10" s="74">
        <f>'CA - Visiophonie - B2B'!K18</f>
        <v>1662.5</v>
      </c>
      <c r="G10" s="74">
        <f>'CA - Visiophonie - B2B'!L18</f>
        <v>2327.5</v>
      </c>
      <c r="H10" s="74">
        <f>'CA - Visiophonie - B2B'!M18</f>
        <v>2826.25</v>
      </c>
      <c r="I10" s="74">
        <f>'CA - Visiophonie - B2B'!N18</f>
        <v>3325</v>
      </c>
      <c r="J10" s="74">
        <f>'CA - Visiophonie - B2B'!O18</f>
        <v>3325</v>
      </c>
      <c r="K10" s="74">
        <f>'CA - Visiophonie - B2B'!P18</f>
        <v>3325</v>
      </c>
      <c r="L10" s="74">
        <f>'CA - Visiophonie - B2B'!Q18</f>
        <v>3325</v>
      </c>
      <c r="M10" s="74">
        <f>'CA - Visiophonie - B2B'!R18</f>
        <v>3325</v>
      </c>
      <c r="N10" s="74">
        <f>'CA - Visiophonie - B2B'!S18</f>
        <v>3325</v>
      </c>
      <c r="O10" s="75">
        <f>SUM(C10:N10)</f>
        <v>28761.25</v>
      </c>
      <c r="P10" s="65"/>
    </row>
    <row r="11" spans="1:17" ht="12.75" customHeight="1" x14ac:dyDescent="0.2">
      <c r="A11" s="16"/>
      <c r="B11" s="76" t="s">
        <v>163</v>
      </c>
      <c r="C11" s="77">
        <f t="shared" ref="C11:O11" si="1">SUM(C9:C10)</f>
        <v>332.5</v>
      </c>
      <c r="D11" s="77">
        <f t="shared" si="1"/>
        <v>665</v>
      </c>
      <c r="E11" s="77">
        <f t="shared" si="1"/>
        <v>997.5</v>
      </c>
      <c r="F11" s="77">
        <f t="shared" si="1"/>
        <v>1662.5</v>
      </c>
      <c r="G11" s="77">
        <f t="shared" si="1"/>
        <v>2327.5</v>
      </c>
      <c r="H11" s="77">
        <f t="shared" si="1"/>
        <v>2826.25</v>
      </c>
      <c r="I11" s="77">
        <f t="shared" si="1"/>
        <v>3325</v>
      </c>
      <c r="J11" s="77">
        <f t="shared" si="1"/>
        <v>3325</v>
      </c>
      <c r="K11" s="77">
        <f t="shared" si="1"/>
        <v>23667.880000000005</v>
      </c>
      <c r="L11" s="77">
        <f t="shared" si="1"/>
        <v>3325</v>
      </c>
      <c r="M11" s="77">
        <f t="shared" si="1"/>
        <v>3325</v>
      </c>
      <c r="N11" s="77">
        <f t="shared" si="1"/>
        <v>23667.880000000005</v>
      </c>
      <c r="O11" s="77">
        <f t="shared" si="1"/>
        <v>69447.010000000009</v>
      </c>
      <c r="P11" s="78"/>
      <c r="Q11" s="78"/>
    </row>
    <row r="12" spans="1:17" ht="30" customHeight="1" x14ac:dyDescent="0.2">
      <c r="A12" s="16"/>
      <c r="B12" s="76" t="s">
        <v>164</v>
      </c>
      <c r="C12" s="77">
        <f t="shared" ref="C12:O12" si="2">SUM(C8+C11)</f>
        <v>12726.652048</v>
      </c>
      <c r="D12" s="77">
        <f t="shared" si="2"/>
        <v>26233.304096</v>
      </c>
      <c r="E12" s="77">
        <f t="shared" si="2"/>
        <v>39349.956144000003</v>
      </c>
      <c r="F12" s="77">
        <f t="shared" si="2"/>
        <v>65583.260240000003</v>
      </c>
      <c r="G12" s="77">
        <f t="shared" si="2"/>
        <v>91816.56433600001</v>
      </c>
      <c r="H12" s="77">
        <f t="shared" si="2"/>
        <v>111491.54240800001</v>
      </c>
      <c r="I12" s="77">
        <f t="shared" si="2"/>
        <v>131166.52048000001</v>
      </c>
      <c r="J12" s="77">
        <f t="shared" si="2"/>
        <v>131166.52048000001</v>
      </c>
      <c r="K12" s="77">
        <f t="shared" si="2"/>
        <v>151509.40048000001</v>
      </c>
      <c r="L12" s="77">
        <f t="shared" si="2"/>
        <v>131166.52048000001</v>
      </c>
      <c r="M12" s="77">
        <f t="shared" si="2"/>
        <v>131166.52048000001</v>
      </c>
      <c r="N12" s="77">
        <f t="shared" si="2"/>
        <v>151509.40048000001</v>
      </c>
      <c r="O12" s="77">
        <f t="shared" si="2"/>
        <v>1174886.162152</v>
      </c>
      <c r="P12" s="78"/>
      <c r="Q12" s="78"/>
    </row>
    <row r="13" spans="1:17" ht="17.25" customHeight="1" x14ac:dyDescent="0.2">
      <c r="B13" s="70" t="s">
        <v>165</v>
      </c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80"/>
      <c r="P13" s="65"/>
    </row>
    <row r="14" spans="1:17" ht="12.75" customHeight="1" x14ac:dyDescent="0.2">
      <c r="A14" s="212" t="s">
        <v>130</v>
      </c>
      <c r="B14" s="67" t="s">
        <v>166</v>
      </c>
      <c r="C14" s="14">
        <v>100</v>
      </c>
      <c r="D14" s="14">
        <v>100</v>
      </c>
      <c r="E14" s="14">
        <v>100</v>
      </c>
      <c r="F14" s="14">
        <v>100</v>
      </c>
      <c r="G14" s="14">
        <v>100</v>
      </c>
      <c r="H14" s="14">
        <v>100</v>
      </c>
      <c r="I14" s="14">
        <v>100</v>
      </c>
      <c r="J14" s="14">
        <v>100</v>
      </c>
      <c r="K14" s="14">
        <v>100</v>
      </c>
      <c r="L14" s="14">
        <v>100</v>
      </c>
      <c r="M14" s="14">
        <v>100</v>
      </c>
      <c r="N14" s="14">
        <v>100</v>
      </c>
      <c r="O14" s="81">
        <f>SUM(C14:N14)</f>
        <v>1200</v>
      </c>
      <c r="P14" s="65">
        <v>0.18</v>
      </c>
      <c r="Q14" s="35">
        <f>+O14*P14</f>
        <v>216</v>
      </c>
    </row>
    <row r="15" spans="1:17" ht="12.75" customHeight="1" x14ac:dyDescent="0.2">
      <c r="A15" s="212"/>
      <c r="B15" s="67" t="s">
        <v>167</v>
      </c>
      <c r="C15" s="14">
        <v>400</v>
      </c>
      <c r="D15" s="14">
        <v>400</v>
      </c>
      <c r="E15" s="14">
        <v>400</v>
      </c>
      <c r="F15" s="14">
        <v>400</v>
      </c>
      <c r="G15" s="14">
        <v>400</v>
      </c>
      <c r="H15" s="14">
        <v>400</v>
      </c>
      <c r="I15" s="14">
        <v>400</v>
      </c>
      <c r="J15" s="14">
        <v>400</v>
      </c>
      <c r="K15" s="14">
        <v>400</v>
      </c>
      <c r="L15" s="14">
        <v>400</v>
      </c>
      <c r="M15" s="14">
        <v>400</v>
      </c>
      <c r="N15" s="14">
        <v>400</v>
      </c>
      <c r="O15" s="81">
        <f>SUM(C15:N15)</f>
        <v>4800</v>
      </c>
      <c r="P15" s="65">
        <v>0.12</v>
      </c>
      <c r="Q15" s="35">
        <f>+O15*P15</f>
        <v>576</v>
      </c>
    </row>
    <row r="16" spans="1:17" ht="12.75" customHeight="1" x14ac:dyDescent="0.2">
      <c r="A16" s="212"/>
      <c r="B16" s="67" t="s">
        <v>168</v>
      </c>
      <c r="C16" s="14">
        <v>500</v>
      </c>
      <c r="D16" s="14">
        <v>500</v>
      </c>
      <c r="E16" s="14">
        <v>500</v>
      </c>
      <c r="F16" s="14">
        <v>500</v>
      </c>
      <c r="G16" s="14">
        <v>500</v>
      </c>
      <c r="H16" s="14">
        <v>500</v>
      </c>
      <c r="I16" s="14">
        <v>500</v>
      </c>
      <c r="J16" s="14">
        <v>500</v>
      </c>
      <c r="K16" s="14">
        <v>500</v>
      </c>
      <c r="L16" s="14">
        <v>500</v>
      </c>
      <c r="M16" s="14">
        <v>500</v>
      </c>
      <c r="N16" s="14">
        <v>500</v>
      </c>
      <c r="O16" s="81">
        <f>SUM(C16:N16)</f>
        <v>6000</v>
      </c>
      <c r="P16" s="65">
        <v>0.12</v>
      </c>
      <c r="Q16" s="35">
        <f>+O16*P16</f>
        <v>720</v>
      </c>
    </row>
    <row r="17" spans="1:17" ht="12.75" customHeight="1" x14ac:dyDescent="0.2">
      <c r="A17" s="16"/>
      <c r="B17" s="76" t="s">
        <v>169</v>
      </c>
      <c r="C17" s="78">
        <f t="shared" ref="C17:O17" si="3">SUM(C14:C16)</f>
        <v>1000</v>
      </c>
      <c r="D17" s="78">
        <f t="shared" si="3"/>
        <v>1000</v>
      </c>
      <c r="E17" s="78">
        <f t="shared" si="3"/>
        <v>1000</v>
      </c>
      <c r="F17" s="78">
        <f t="shared" si="3"/>
        <v>1000</v>
      </c>
      <c r="G17" s="78">
        <f t="shared" si="3"/>
        <v>1000</v>
      </c>
      <c r="H17" s="78">
        <f t="shared" si="3"/>
        <v>1000</v>
      </c>
      <c r="I17" s="78">
        <f t="shared" si="3"/>
        <v>1000</v>
      </c>
      <c r="J17" s="78">
        <f t="shared" si="3"/>
        <v>1000</v>
      </c>
      <c r="K17" s="78">
        <f t="shared" si="3"/>
        <v>1000</v>
      </c>
      <c r="L17" s="78">
        <f t="shared" si="3"/>
        <v>1000</v>
      </c>
      <c r="M17" s="78">
        <f t="shared" si="3"/>
        <v>1000</v>
      </c>
      <c r="N17" s="78">
        <f t="shared" si="3"/>
        <v>1000</v>
      </c>
      <c r="O17" s="78">
        <f t="shared" si="3"/>
        <v>12000</v>
      </c>
      <c r="P17" s="78"/>
      <c r="Q17" s="78">
        <f>SUM(Q14:Q16)</f>
        <v>1512</v>
      </c>
    </row>
    <row r="18" spans="1:17" s="35" customFormat="1" ht="12.75" customHeight="1" x14ac:dyDescent="0.2">
      <c r="A18" s="16"/>
      <c r="B18" s="82" t="s">
        <v>170</v>
      </c>
      <c r="C18" s="40">
        <f t="shared" ref="C18:N18" si="4">$O$18/12</f>
        <v>378.4375</v>
      </c>
      <c r="D18" s="40">
        <f t="shared" si="4"/>
        <v>378.4375</v>
      </c>
      <c r="E18" s="40">
        <f t="shared" si="4"/>
        <v>378.4375</v>
      </c>
      <c r="F18" s="40">
        <f t="shared" si="4"/>
        <v>378.4375</v>
      </c>
      <c r="G18" s="40">
        <f t="shared" si="4"/>
        <v>378.4375</v>
      </c>
      <c r="H18" s="40">
        <f t="shared" si="4"/>
        <v>378.4375</v>
      </c>
      <c r="I18" s="40">
        <f t="shared" si="4"/>
        <v>378.4375</v>
      </c>
      <c r="J18" s="40">
        <f t="shared" si="4"/>
        <v>378.4375</v>
      </c>
      <c r="K18" s="40">
        <f t="shared" si="4"/>
        <v>378.4375</v>
      </c>
      <c r="L18" s="40">
        <f t="shared" si="4"/>
        <v>378.4375</v>
      </c>
      <c r="M18" s="40">
        <f t="shared" si="4"/>
        <v>378.4375</v>
      </c>
      <c r="N18" s="40">
        <f t="shared" si="4"/>
        <v>378.4375</v>
      </c>
      <c r="O18" s="40">
        <f>'Frais IBM WATSON'!M16</f>
        <v>4541.25</v>
      </c>
      <c r="P18" s="34"/>
      <c r="Q18" s="34"/>
    </row>
    <row r="19" spans="1:17" s="35" customFormat="1" ht="28" x14ac:dyDescent="0.2">
      <c r="A19" s="16"/>
      <c r="B19" s="82" t="s">
        <v>171</v>
      </c>
      <c r="C19" s="40">
        <f t="shared" ref="C19:N19" si="5">$O$19/12</f>
        <v>1130.1600000000001</v>
      </c>
      <c r="D19" s="40">
        <f t="shared" si="5"/>
        <v>1130.1600000000001</v>
      </c>
      <c r="E19" s="40">
        <f t="shared" si="5"/>
        <v>1130.1600000000001</v>
      </c>
      <c r="F19" s="40">
        <f t="shared" si="5"/>
        <v>1130.1600000000001</v>
      </c>
      <c r="G19" s="40">
        <f t="shared" si="5"/>
        <v>1130.1600000000001</v>
      </c>
      <c r="H19" s="40">
        <f t="shared" si="5"/>
        <v>1130.1600000000001</v>
      </c>
      <c r="I19" s="40">
        <f t="shared" si="5"/>
        <v>1130.1600000000001</v>
      </c>
      <c r="J19" s="40">
        <f t="shared" si="5"/>
        <v>1130.1600000000001</v>
      </c>
      <c r="K19" s="40">
        <f t="shared" si="5"/>
        <v>1130.1600000000001</v>
      </c>
      <c r="L19" s="40">
        <f t="shared" si="5"/>
        <v>1130.1600000000001</v>
      </c>
      <c r="M19" s="40">
        <f t="shared" si="5"/>
        <v>1130.1600000000001</v>
      </c>
      <c r="N19" s="40">
        <f t="shared" si="5"/>
        <v>1130.1600000000001</v>
      </c>
      <c r="O19" s="40">
        <f>'Frais Readspeaker'!C3</f>
        <v>13561.920000000002</v>
      </c>
      <c r="P19" s="34"/>
      <c r="Q19" s="34"/>
    </row>
    <row r="20" spans="1:17" s="35" customFormat="1" x14ac:dyDescent="0.2">
      <c r="A20" s="16"/>
      <c r="B20" s="82" t="s">
        <v>172</v>
      </c>
      <c r="C20" s="40"/>
      <c r="D20" s="40"/>
      <c r="E20" s="40"/>
      <c r="F20" s="40"/>
      <c r="G20" s="40"/>
      <c r="H20" s="40"/>
      <c r="I20" s="40"/>
      <c r="J20" s="40"/>
      <c r="K20" s="40">
        <f>'Frais Readspeaker'!C3</f>
        <v>13561.920000000002</v>
      </c>
      <c r="L20" s="40"/>
      <c r="M20" s="40"/>
      <c r="N20" s="40"/>
      <c r="O20" s="40">
        <f t="shared" ref="O20:O29" si="6">SUM(C20:N20)</f>
        <v>13561.920000000002</v>
      </c>
      <c r="P20" s="34"/>
      <c r="Q20" s="34"/>
    </row>
    <row r="21" spans="1:17" ht="28" x14ac:dyDescent="0.2">
      <c r="A21" s="16"/>
      <c r="B21" s="82" t="s">
        <v>173</v>
      </c>
      <c r="C21" s="39">
        <v>400</v>
      </c>
      <c r="D21" s="39">
        <v>400</v>
      </c>
      <c r="E21" s="39">
        <v>400</v>
      </c>
      <c r="F21" s="39">
        <v>400</v>
      </c>
      <c r="G21" s="39">
        <v>400</v>
      </c>
      <c r="H21" s="39">
        <v>400</v>
      </c>
      <c r="I21" s="39">
        <v>400</v>
      </c>
      <c r="J21" s="39">
        <v>400</v>
      </c>
      <c r="K21" s="39">
        <v>400</v>
      </c>
      <c r="L21" s="39">
        <v>400</v>
      </c>
      <c r="M21" s="39">
        <v>400</v>
      </c>
      <c r="N21" s="39">
        <v>400</v>
      </c>
      <c r="O21" s="39">
        <f t="shared" si="6"/>
        <v>4800</v>
      </c>
      <c r="P21" s="34"/>
      <c r="Q21" s="34"/>
    </row>
    <row r="22" spans="1:17" s="83" customFormat="1" ht="12.75" customHeight="1" x14ac:dyDescent="0.15">
      <c r="A22" s="34"/>
      <c r="B22" s="82" t="s">
        <v>174</v>
      </c>
      <c r="C22" s="42">
        <v>150</v>
      </c>
      <c r="D22" s="42">
        <v>150</v>
      </c>
      <c r="E22" s="42">
        <v>150</v>
      </c>
      <c r="F22" s="42">
        <v>150</v>
      </c>
      <c r="G22" s="42">
        <v>150</v>
      </c>
      <c r="H22" s="42">
        <v>150</v>
      </c>
      <c r="I22" s="42">
        <v>150</v>
      </c>
      <c r="J22" s="42">
        <v>150</v>
      </c>
      <c r="K22" s="42">
        <v>150</v>
      </c>
      <c r="L22" s="42">
        <v>150</v>
      </c>
      <c r="M22" s="42">
        <v>150</v>
      </c>
      <c r="N22" s="42">
        <v>150</v>
      </c>
      <c r="O22" s="81">
        <f t="shared" si="6"/>
        <v>1800</v>
      </c>
      <c r="P22" s="34"/>
      <c r="Q22" s="34"/>
    </row>
    <row r="23" spans="1:17" ht="12.75" customHeight="1" x14ac:dyDescent="0.2">
      <c r="A23" s="34"/>
      <c r="B23" s="84" t="s">
        <v>175</v>
      </c>
      <c r="C23" s="42">
        <v>100</v>
      </c>
      <c r="D23" s="42">
        <v>100</v>
      </c>
      <c r="E23" s="42">
        <v>100</v>
      </c>
      <c r="F23" s="42">
        <v>100</v>
      </c>
      <c r="G23" s="42">
        <v>100</v>
      </c>
      <c r="H23" s="42">
        <v>100</v>
      </c>
      <c r="I23" s="42">
        <v>100</v>
      </c>
      <c r="J23" s="42">
        <v>100</v>
      </c>
      <c r="K23" s="42">
        <v>100</v>
      </c>
      <c r="L23" s="42">
        <v>100</v>
      </c>
      <c r="M23" s="42">
        <v>100</v>
      </c>
      <c r="N23" s="42">
        <v>100</v>
      </c>
      <c r="O23" s="81">
        <f t="shared" si="6"/>
        <v>1200</v>
      </c>
      <c r="P23" s="34"/>
      <c r="Q23" s="34"/>
    </row>
    <row r="24" spans="1:17" s="35" customFormat="1" ht="12.75" customHeight="1" x14ac:dyDescent="0.2">
      <c r="A24" s="85"/>
      <c r="B24" s="67" t="s">
        <v>176</v>
      </c>
      <c r="C24" s="14">
        <v>4000</v>
      </c>
      <c r="D24" s="14">
        <v>4000</v>
      </c>
      <c r="E24" s="14">
        <v>4000</v>
      </c>
      <c r="F24" s="14">
        <v>4000</v>
      </c>
      <c r="G24" s="14">
        <v>4000</v>
      </c>
      <c r="H24" s="14">
        <v>4000</v>
      </c>
      <c r="I24" s="14">
        <v>4000</v>
      </c>
      <c r="J24" s="14">
        <v>4000</v>
      </c>
      <c r="K24" s="14">
        <v>4000</v>
      </c>
      <c r="L24" s="14">
        <v>4000</v>
      </c>
      <c r="M24" s="14">
        <v>4000</v>
      </c>
      <c r="N24" s="14">
        <v>4000</v>
      </c>
      <c r="O24" s="81">
        <f t="shared" si="6"/>
        <v>48000</v>
      </c>
      <c r="P24" s="65">
        <v>0.12</v>
      </c>
      <c r="Q24" s="35">
        <f>+O24*P24</f>
        <v>5760</v>
      </c>
    </row>
    <row r="25" spans="1:17" s="35" customFormat="1" ht="12.75" customHeight="1" x14ac:dyDescent="0.2">
      <c r="A25" s="85"/>
      <c r="B25" s="82" t="s">
        <v>177</v>
      </c>
      <c r="C25" s="14">
        <v>300</v>
      </c>
      <c r="D25" s="14">
        <v>300</v>
      </c>
      <c r="E25" s="14">
        <v>300</v>
      </c>
      <c r="F25" s="14">
        <v>300</v>
      </c>
      <c r="G25" s="14">
        <v>300</v>
      </c>
      <c r="H25" s="14">
        <v>300</v>
      </c>
      <c r="I25" s="14">
        <v>300</v>
      </c>
      <c r="J25" s="14">
        <v>300</v>
      </c>
      <c r="K25" s="14">
        <v>300</v>
      </c>
      <c r="L25" s="14">
        <v>300</v>
      </c>
      <c r="M25" s="14">
        <v>300</v>
      </c>
      <c r="N25" s="14">
        <v>300</v>
      </c>
      <c r="O25" s="81">
        <f t="shared" si="6"/>
        <v>3600</v>
      </c>
      <c r="P25" s="65"/>
      <c r="Q25"/>
    </row>
    <row r="26" spans="1:17" ht="12.75" customHeight="1" x14ac:dyDescent="0.2">
      <c r="A26" s="86"/>
      <c r="B26" s="67" t="s">
        <v>178</v>
      </c>
      <c r="C26" s="14">
        <v>700</v>
      </c>
      <c r="D26" s="14">
        <v>700</v>
      </c>
      <c r="E26" s="14">
        <v>700</v>
      </c>
      <c r="F26" s="14">
        <v>700</v>
      </c>
      <c r="G26" s="14">
        <v>700</v>
      </c>
      <c r="H26" s="14">
        <v>700</v>
      </c>
      <c r="I26" s="14">
        <v>700</v>
      </c>
      <c r="J26" s="14">
        <v>700</v>
      </c>
      <c r="K26" s="14">
        <v>700</v>
      </c>
      <c r="L26" s="14">
        <v>700</v>
      </c>
      <c r="M26" s="14">
        <v>700</v>
      </c>
      <c r="N26" s="14">
        <v>700</v>
      </c>
      <c r="O26" s="81">
        <f t="shared" si="6"/>
        <v>8400</v>
      </c>
      <c r="P26" s="65">
        <v>0.18</v>
      </c>
      <c r="Q26" s="35">
        <f>+O26*P26</f>
        <v>1512</v>
      </c>
    </row>
    <row r="27" spans="1:17" ht="12.75" customHeight="1" x14ac:dyDescent="0.2">
      <c r="A27" s="86"/>
      <c r="B27" s="82" t="s">
        <v>179</v>
      </c>
      <c r="C27" s="14">
        <v>15000</v>
      </c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81">
        <f t="shared" si="6"/>
        <v>15000</v>
      </c>
      <c r="P27" s="65">
        <v>0.18</v>
      </c>
      <c r="Q27" s="35">
        <f>+O27*P27</f>
        <v>2700</v>
      </c>
    </row>
    <row r="28" spans="1:17" ht="12.75" customHeight="1" x14ac:dyDescent="0.2">
      <c r="A28" s="86"/>
      <c r="B28" s="82" t="s">
        <v>180</v>
      </c>
      <c r="C28" s="14"/>
      <c r="D28" s="14"/>
      <c r="E28" s="14">
        <f>'Plan de communication'!B16</f>
        <v>23550</v>
      </c>
      <c r="F28" s="14"/>
      <c r="G28" s="14"/>
      <c r="H28" s="14">
        <f>'Plan de communication'!C16</f>
        <v>4350</v>
      </c>
      <c r="I28" s="14"/>
      <c r="J28" s="14"/>
      <c r="K28" s="14">
        <f>'Plan de communication'!D16</f>
        <v>3550</v>
      </c>
      <c r="L28" s="14"/>
      <c r="M28" s="14"/>
      <c r="N28" s="14">
        <f>'Plan de communication'!E16</f>
        <v>9350</v>
      </c>
      <c r="O28" s="81">
        <f t="shared" si="6"/>
        <v>40800</v>
      </c>
      <c r="P28" s="65">
        <v>0.12</v>
      </c>
      <c r="Q28" s="35">
        <f>+O28*P28</f>
        <v>4896</v>
      </c>
    </row>
    <row r="29" spans="1:17" ht="28.5" customHeight="1" x14ac:dyDescent="0.2">
      <c r="A29" s="86"/>
      <c r="B29" s="76" t="s">
        <v>181</v>
      </c>
      <c r="C29" s="77">
        <f t="shared" ref="C29:N29" si="7">SUM(C18:C28)</f>
        <v>22158.5975</v>
      </c>
      <c r="D29" s="77">
        <f t="shared" si="7"/>
        <v>7158.5974999999999</v>
      </c>
      <c r="E29" s="77">
        <f t="shared" si="7"/>
        <v>30708.5975</v>
      </c>
      <c r="F29" s="77">
        <f t="shared" si="7"/>
        <v>7158.5974999999999</v>
      </c>
      <c r="G29" s="77">
        <f t="shared" si="7"/>
        <v>7158.5974999999999</v>
      </c>
      <c r="H29" s="77">
        <f t="shared" si="7"/>
        <v>11508.5975</v>
      </c>
      <c r="I29" s="77">
        <f t="shared" si="7"/>
        <v>7158.5974999999999</v>
      </c>
      <c r="J29" s="77">
        <f t="shared" si="7"/>
        <v>7158.5974999999999</v>
      </c>
      <c r="K29" s="77">
        <f t="shared" si="7"/>
        <v>24270.517500000002</v>
      </c>
      <c r="L29" s="77">
        <f t="shared" si="7"/>
        <v>7158.5974999999999</v>
      </c>
      <c r="M29" s="77">
        <f t="shared" si="7"/>
        <v>7158.5974999999999</v>
      </c>
      <c r="N29" s="77">
        <f t="shared" si="7"/>
        <v>16508.5975</v>
      </c>
      <c r="O29" s="77">
        <f t="shared" si="6"/>
        <v>155265.09000000003</v>
      </c>
      <c r="P29" s="65"/>
      <c r="Q29" s="78">
        <f>SUM(Q24:Q28)</f>
        <v>14868</v>
      </c>
    </row>
    <row r="30" spans="1:17" ht="29.25" customHeight="1" x14ac:dyDescent="0.2">
      <c r="A30" s="86"/>
      <c r="B30" s="76" t="s">
        <v>182</v>
      </c>
      <c r="C30" s="78">
        <f t="shared" ref="C30:N30" si="8">$O$30/12</f>
        <v>33615</v>
      </c>
      <c r="D30" s="78">
        <f t="shared" si="8"/>
        <v>33615</v>
      </c>
      <c r="E30" s="78">
        <f t="shared" si="8"/>
        <v>33615</v>
      </c>
      <c r="F30" s="78">
        <f t="shared" si="8"/>
        <v>33615</v>
      </c>
      <c r="G30" s="78">
        <f t="shared" si="8"/>
        <v>33615</v>
      </c>
      <c r="H30" s="78">
        <f t="shared" si="8"/>
        <v>33615</v>
      </c>
      <c r="I30" s="78">
        <f t="shared" si="8"/>
        <v>33615</v>
      </c>
      <c r="J30" s="78">
        <f t="shared" si="8"/>
        <v>33615</v>
      </c>
      <c r="K30" s="78">
        <f t="shared" si="8"/>
        <v>33615</v>
      </c>
      <c r="L30" s="78">
        <f t="shared" si="8"/>
        <v>33615</v>
      </c>
      <c r="M30" s="78">
        <f t="shared" si="8"/>
        <v>33615</v>
      </c>
      <c r="N30" s="78">
        <f t="shared" si="8"/>
        <v>33615</v>
      </c>
      <c r="O30" s="78">
        <f>'Budget RH en nombre TTC'!C49</f>
        <v>403380</v>
      </c>
      <c r="P30" s="65"/>
      <c r="Q30" s="87"/>
    </row>
    <row r="31" spans="1:17" ht="28.5" customHeight="1" x14ac:dyDescent="0.2">
      <c r="B31" s="88" t="s">
        <v>183</v>
      </c>
      <c r="C31" s="89">
        <f t="shared" ref="C31:O31" si="9">C17+C29+C30</f>
        <v>56773.597500000003</v>
      </c>
      <c r="D31" s="89">
        <f t="shared" si="9"/>
        <v>41773.597500000003</v>
      </c>
      <c r="E31" s="89">
        <f t="shared" si="9"/>
        <v>65323.597500000003</v>
      </c>
      <c r="F31" s="89">
        <f t="shared" si="9"/>
        <v>41773.597500000003</v>
      </c>
      <c r="G31" s="89">
        <f t="shared" si="9"/>
        <v>41773.597500000003</v>
      </c>
      <c r="H31" s="89">
        <f t="shared" si="9"/>
        <v>46123.597500000003</v>
      </c>
      <c r="I31" s="89">
        <f t="shared" si="9"/>
        <v>41773.597500000003</v>
      </c>
      <c r="J31" s="89">
        <f t="shared" si="9"/>
        <v>41773.597500000003</v>
      </c>
      <c r="K31" s="89">
        <f t="shared" si="9"/>
        <v>58885.517500000002</v>
      </c>
      <c r="L31" s="89">
        <f t="shared" si="9"/>
        <v>41773.597500000003</v>
      </c>
      <c r="M31" s="89">
        <f t="shared" si="9"/>
        <v>41773.597500000003</v>
      </c>
      <c r="N31" s="89">
        <f t="shared" si="9"/>
        <v>51123.597500000003</v>
      </c>
      <c r="O31" s="89">
        <f t="shared" si="9"/>
        <v>570645.09000000008</v>
      </c>
      <c r="P31" s="69"/>
    </row>
    <row r="32" spans="1:17" s="35" customFormat="1" ht="28.5" customHeight="1" x14ac:dyDescent="0.2">
      <c r="B32" s="90" t="s">
        <v>136</v>
      </c>
      <c r="C32" s="89">
        <f t="shared" ref="C32:O32" si="10">+C12-C31</f>
        <v>-44046.945452</v>
      </c>
      <c r="D32" s="89">
        <f t="shared" si="10"/>
        <v>-15540.293404000004</v>
      </c>
      <c r="E32" s="89">
        <f t="shared" si="10"/>
        <v>-25973.641356</v>
      </c>
      <c r="F32" s="89">
        <f t="shared" si="10"/>
        <v>23809.66274</v>
      </c>
      <c r="G32" s="89">
        <f t="shared" si="10"/>
        <v>50042.966836000007</v>
      </c>
      <c r="H32" s="89">
        <f t="shared" si="10"/>
        <v>65367.944908000005</v>
      </c>
      <c r="I32" s="89">
        <f t="shared" si="10"/>
        <v>89392.922980000003</v>
      </c>
      <c r="J32" s="89">
        <f t="shared" si="10"/>
        <v>89392.922980000003</v>
      </c>
      <c r="K32" s="89">
        <f t="shared" si="10"/>
        <v>92623.882980000009</v>
      </c>
      <c r="L32" s="89">
        <f t="shared" si="10"/>
        <v>89392.922980000003</v>
      </c>
      <c r="M32" s="89">
        <f t="shared" si="10"/>
        <v>89392.922980000003</v>
      </c>
      <c r="N32" s="89">
        <f t="shared" si="10"/>
        <v>100385.80298000001</v>
      </c>
      <c r="O32" s="89">
        <f t="shared" si="10"/>
        <v>604241.07215199992</v>
      </c>
      <c r="P32" s="69"/>
    </row>
    <row r="33" spans="1:16" ht="28.5" customHeight="1" x14ac:dyDescent="0.2">
      <c r="A33" s="35"/>
      <c r="B33" s="90" t="s">
        <v>184</v>
      </c>
      <c r="C33" s="40">
        <f>+C32</f>
        <v>-44046.945452</v>
      </c>
      <c r="D33" s="40">
        <f t="shared" ref="D33:N33" si="11">+D32+C33</f>
        <v>-59587.238856000004</v>
      </c>
      <c r="E33" s="40">
        <f t="shared" si="11"/>
        <v>-85560.880212000004</v>
      </c>
      <c r="F33" s="40">
        <f t="shared" si="11"/>
        <v>-61751.217472000004</v>
      </c>
      <c r="G33" s="40">
        <f t="shared" si="11"/>
        <v>-11708.250635999997</v>
      </c>
      <c r="H33" s="40">
        <f t="shared" si="11"/>
        <v>53659.694272000008</v>
      </c>
      <c r="I33" s="40">
        <f t="shared" si="11"/>
        <v>143052.61725200003</v>
      </c>
      <c r="J33" s="40">
        <f t="shared" si="11"/>
        <v>232445.54023200003</v>
      </c>
      <c r="K33" s="40">
        <f t="shared" si="11"/>
        <v>325069.42321200005</v>
      </c>
      <c r="L33" s="40">
        <f t="shared" si="11"/>
        <v>414462.34619200008</v>
      </c>
      <c r="M33" s="40">
        <f t="shared" si="11"/>
        <v>503855.26917200012</v>
      </c>
      <c r="N33" s="40">
        <f t="shared" si="11"/>
        <v>604241.07215200015</v>
      </c>
      <c r="O33" s="68"/>
      <c r="P33" s="69"/>
    </row>
    <row r="34" spans="1:16" s="35" customFormat="1" ht="27" customHeight="1" x14ac:dyDescent="0.2">
      <c r="B34" s="91" t="s">
        <v>185</v>
      </c>
      <c r="C34" s="92">
        <f>'Invest-Amort et TVA'!D36</f>
        <v>662550</v>
      </c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3"/>
      <c r="P34" s="69"/>
    </row>
    <row r="35" spans="1:16" s="35" customFormat="1" ht="40.5" customHeight="1" x14ac:dyDescent="0.2">
      <c r="B35" s="82" t="s">
        <v>186</v>
      </c>
      <c r="C35" s="94">
        <f>+C33-C34</f>
        <v>-706596.94545200001</v>
      </c>
      <c r="D35" s="94">
        <f>+D33-D34</f>
        <v>-59587.238856000004</v>
      </c>
      <c r="E35" s="94">
        <f>+E33-E34</f>
        <v>-85560.880212000004</v>
      </c>
      <c r="F35" s="39"/>
      <c r="G35" s="39"/>
      <c r="H35" s="39"/>
      <c r="I35" s="39"/>
      <c r="J35" s="39"/>
      <c r="K35" s="39"/>
      <c r="L35" s="39"/>
      <c r="M35" s="39"/>
      <c r="N35" s="39"/>
      <c r="O35" s="95"/>
      <c r="P35" s="69"/>
    </row>
    <row r="36" spans="1:16" s="35" customFormat="1" x14ac:dyDescent="0.2">
      <c r="B36" s="82"/>
      <c r="C36" s="94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68"/>
      <c r="P36" s="69"/>
    </row>
    <row r="37" spans="1:16" s="35" customFormat="1" x14ac:dyDescent="0.2">
      <c r="B37" s="96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3"/>
      <c r="P37" s="69"/>
    </row>
    <row r="38" spans="1:16" s="35" customFormat="1" x14ac:dyDescent="0.2">
      <c r="B38" s="88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68"/>
      <c r="P38" s="69"/>
    </row>
    <row r="39" spans="1:16" x14ac:dyDescent="0.2">
      <c r="A39" s="35"/>
      <c r="B39" s="66"/>
      <c r="O39" s="64"/>
      <c r="P39" s="65"/>
    </row>
    <row r="40" spans="1:16" x14ac:dyDescent="0.2">
      <c r="A40" s="35"/>
      <c r="B40" s="66"/>
      <c r="O40" s="64"/>
      <c r="P40" s="65"/>
    </row>
    <row r="41" spans="1:16" x14ac:dyDescent="0.2">
      <c r="A41" s="35"/>
      <c r="B41" s="88" t="s">
        <v>187</v>
      </c>
      <c r="C41" s="97">
        <f t="shared" ref="C41:O41" si="12">C31+C38</f>
        <v>56773.597500000003</v>
      </c>
      <c r="D41" s="97">
        <f t="shared" si="12"/>
        <v>41773.597500000003</v>
      </c>
      <c r="E41" s="97">
        <f t="shared" si="12"/>
        <v>65323.597500000003</v>
      </c>
      <c r="F41" s="97">
        <f t="shared" si="12"/>
        <v>41773.597500000003</v>
      </c>
      <c r="G41" s="97">
        <f t="shared" si="12"/>
        <v>41773.597500000003</v>
      </c>
      <c r="H41" s="97">
        <f t="shared" si="12"/>
        <v>46123.597500000003</v>
      </c>
      <c r="I41" s="97">
        <f t="shared" si="12"/>
        <v>41773.597500000003</v>
      </c>
      <c r="J41" s="97">
        <f t="shared" si="12"/>
        <v>41773.597500000003</v>
      </c>
      <c r="K41" s="97">
        <f t="shared" si="12"/>
        <v>58885.517500000002</v>
      </c>
      <c r="L41" s="97">
        <f t="shared" si="12"/>
        <v>41773.597500000003</v>
      </c>
      <c r="M41" s="97">
        <f t="shared" si="12"/>
        <v>41773.597500000003</v>
      </c>
      <c r="N41" s="97">
        <f t="shared" si="12"/>
        <v>51123.597500000003</v>
      </c>
      <c r="O41" s="68">
        <f t="shared" si="12"/>
        <v>570645.09000000008</v>
      </c>
      <c r="P41" s="65"/>
    </row>
    <row r="42" spans="1:16" x14ac:dyDescent="0.2">
      <c r="A42" s="35"/>
      <c r="B42" s="66"/>
      <c r="O42" s="64"/>
      <c r="P42" s="65"/>
    </row>
    <row r="43" spans="1:16" x14ac:dyDescent="0.2">
      <c r="A43" s="35"/>
      <c r="B43" s="66"/>
      <c r="O43" s="64"/>
      <c r="P43" s="65"/>
    </row>
    <row r="44" spans="1:16" s="35" customFormat="1" ht="20.25" customHeight="1" x14ac:dyDescent="0.2">
      <c r="B44" s="211" t="s">
        <v>188</v>
      </c>
      <c r="C44" s="211"/>
      <c r="D44" s="211"/>
      <c r="E44" s="211"/>
      <c r="F44" s="211"/>
      <c r="G44" s="211"/>
      <c r="H44" s="211"/>
      <c r="I44" s="211"/>
      <c r="J44" s="211"/>
      <c r="K44" s="211"/>
      <c r="L44" s="211"/>
      <c r="O44" s="64"/>
      <c r="P44" s="65"/>
    </row>
    <row r="45" spans="1:16" s="35" customFormat="1" x14ac:dyDescent="0.2">
      <c r="B45" s="66"/>
      <c r="O45" s="64"/>
      <c r="P45" s="65"/>
    </row>
    <row r="46" spans="1:16" s="34" customFormat="1" ht="14" x14ac:dyDescent="0.2">
      <c r="B46" s="98"/>
      <c r="C46" s="39" t="s">
        <v>145</v>
      </c>
      <c r="D46" s="39" t="s">
        <v>146</v>
      </c>
      <c r="E46" s="39" t="s">
        <v>147</v>
      </c>
      <c r="F46" s="39" t="s">
        <v>148</v>
      </c>
      <c r="G46" s="39" t="s">
        <v>149</v>
      </c>
      <c r="H46" s="39" t="s">
        <v>150</v>
      </c>
      <c r="I46" s="39" t="s">
        <v>151</v>
      </c>
      <c r="J46" s="39" t="s">
        <v>152</v>
      </c>
      <c r="K46" s="39" t="s">
        <v>153</v>
      </c>
      <c r="L46" s="39" t="s">
        <v>154</v>
      </c>
      <c r="M46" s="39" t="s">
        <v>155</v>
      </c>
      <c r="N46" s="39" t="s">
        <v>156</v>
      </c>
      <c r="O46" s="68" t="s">
        <v>157</v>
      </c>
      <c r="P46" s="99"/>
    </row>
    <row r="47" spans="1:16" s="35" customFormat="1" x14ac:dyDescent="0.2">
      <c r="B47" s="70" t="s">
        <v>158</v>
      </c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80"/>
      <c r="P47" s="65"/>
    </row>
    <row r="48" spans="1:16" s="35" customFormat="1" x14ac:dyDescent="0.2">
      <c r="B48" s="82" t="s">
        <v>159</v>
      </c>
      <c r="C48" s="15">
        <f>'CA - Readspeaker et IBM Watson'!AA19</f>
        <v>85215</v>
      </c>
      <c r="D48" s="15">
        <f>'CA - Readspeaker et IBM Watson'!AB19</f>
        <v>85215</v>
      </c>
      <c r="E48" s="15">
        <f>'CA - Readspeaker et IBM Watson'!AC19</f>
        <v>85215</v>
      </c>
      <c r="F48" s="15">
        <f>'CA - Readspeaker et IBM Watson'!AD19</f>
        <v>85215</v>
      </c>
      <c r="G48" s="15">
        <f>'CA - Readspeaker et IBM Watson'!AE19</f>
        <v>85215</v>
      </c>
      <c r="H48" s="15">
        <f>'CA - Readspeaker et IBM Watson'!AF19</f>
        <v>85215</v>
      </c>
      <c r="I48" s="15">
        <f>'CA - Readspeaker et IBM Watson'!AG19</f>
        <v>85215</v>
      </c>
      <c r="J48" s="15">
        <f>'CA - Readspeaker et IBM Watson'!AH19</f>
        <v>85215</v>
      </c>
      <c r="K48" s="15">
        <f>'CA - Readspeaker et IBM Watson'!AI19</f>
        <v>85215</v>
      </c>
      <c r="L48" s="15">
        <f>'CA - Readspeaker et IBM Watson'!AJ19</f>
        <v>85215</v>
      </c>
      <c r="M48" s="15">
        <f>'CA - Readspeaker et IBM Watson'!AK19</f>
        <v>85215</v>
      </c>
      <c r="N48" s="15">
        <f>'CA - Readspeaker et IBM Watson'!AL19</f>
        <v>85215</v>
      </c>
      <c r="O48" s="100">
        <f>SUM(C48:N48)</f>
        <v>1022580</v>
      </c>
      <c r="P48" s="65"/>
    </row>
    <row r="49" spans="1:17" s="35" customFormat="1" x14ac:dyDescent="0.2">
      <c r="B49" s="82" t="s">
        <v>160</v>
      </c>
      <c r="C49" s="15">
        <f>'CA - Readspeaker et IBM Watson'!AA40</f>
        <v>31184.965656000004</v>
      </c>
      <c r="D49" s="15">
        <f>'CA - Readspeaker et IBM Watson'!AB40</f>
        <v>31184.965656000004</v>
      </c>
      <c r="E49" s="15">
        <f>'CA - Readspeaker et IBM Watson'!AC40</f>
        <v>31184.965656000004</v>
      </c>
      <c r="F49" s="15">
        <f>'CA - Readspeaker et IBM Watson'!AD40</f>
        <v>31184.965656000004</v>
      </c>
      <c r="G49" s="15">
        <f>'CA - Readspeaker et IBM Watson'!AE40</f>
        <v>31184.965656000004</v>
      </c>
      <c r="H49" s="15">
        <f>'CA - Readspeaker et IBM Watson'!AF40</f>
        <v>31184.965656000004</v>
      </c>
      <c r="I49" s="15">
        <f>'CA - Readspeaker et IBM Watson'!AG40</f>
        <v>31184.965656000004</v>
      </c>
      <c r="J49" s="15">
        <f>'CA - Readspeaker et IBM Watson'!AH40</f>
        <v>31184.965656000004</v>
      </c>
      <c r="K49" s="15">
        <f>'CA - Readspeaker et IBM Watson'!AI40</f>
        <v>31184.965656000004</v>
      </c>
      <c r="L49" s="15">
        <f>'CA - Readspeaker et IBM Watson'!AJ40</f>
        <v>31184.965656000004</v>
      </c>
      <c r="M49" s="15">
        <f>'CA - Readspeaker et IBM Watson'!AK40</f>
        <v>31184.965656000004</v>
      </c>
      <c r="N49" s="15">
        <f>'CA - Readspeaker et IBM Watson'!AL40</f>
        <v>31184.965656000004</v>
      </c>
      <c r="O49" s="100">
        <f>SUM(C49:N49)</f>
        <v>374219.58787200012</v>
      </c>
      <c r="P49" s="65"/>
    </row>
    <row r="50" spans="1:17" s="35" customFormat="1" x14ac:dyDescent="0.2">
      <c r="B50" s="82" t="s">
        <v>161</v>
      </c>
      <c r="C50" s="62">
        <f>'CA Visiophonie'!AJ19</f>
        <v>26220</v>
      </c>
      <c r="D50" s="62">
        <f>'CA Visiophonie'!AL19</f>
        <v>26220</v>
      </c>
      <c r="E50" s="62">
        <f>'CA Visiophonie'!AN19</f>
        <v>26220</v>
      </c>
      <c r="F50" s="62">
        <f>'CA Visiophonie'!AP19</f>
        <v>26220</v>
      </c>
      <c r="G50" s="62">
        <f>'CA Visiophonie'!AR19</f>
        <v>26220</v>
      </c>
      <c r="H50" s="62">
        <f>'CA Visiophonie'!AT19</f>
        <v>26220</v>
      </c>
      <c r="I50" s="62">
        <f>'CA Visiophonie'!AV19</f>
        <v>26220</v>
      </c>
      <c r="J50" s="62">
        <f>'CA Visiophonie'!AX19</f>
        <v>26220</v>
      </c>
      <c r="K50" s="62">
        <f>'CA Visiophonie'!AZ19</f>
        <v>26220</v>
      </c>
      <c r="L50" s="62">
        <f>'CA Visiophonie'!BB19</f>
        <v>26220</v>
      </c>
      <c r="M50" s="62">
        <f>'CA Visiophonie'!BD19</f>
        <v>26220</v>
      </c>
      <c r="N50" s="62">
        <f>'CA Visiophonie'!BF19</f>
        <v>26220</v>
      </c>
      <c r="O50" s="100">
        <f>SUM(C50:N50)</f>
        <v>314640</v>
      </c>
      <c r="P50" s="65"/>
    </row>
    <row r="51" spans="1:17" s="35" customFormat="1" x14ac:dyDescent="0.2">
      <c r="B51" s="76" t="s">
        <v>162</v>
      </c>
      <c r="C51" s="77">
        <f t="shared" ref="C51:O51" si="13">SUM(C48:C50)</f>
        <v>142619.96565600001</v>
      </c>
      <c r="D51" s="77">
        <f t="shared" si="13"/>
        <v>142619.96565600001</v>
      </c>
      <c r="E51" s="77">
        <f t="shared" si="13"/>
        <v>142619.96565600001</v>
      </c>
      <c r="F51" s="77">
        <f t="shared" si="13"/>
        <v>142619.96565600001</v>
      </c>
      <c r="G51" s="77">
        <f t="shared" si="13"/>
        <v>142619.96565600001</v>
      </c>
      <c r="H51" s="77">
        <f t="shared" si="13"/>
        <v>142619.96565600001</v>
      </c>
      <c r="I51" s="77">
        <f t="shared" si="13"/>
        <v>142619.96565600001</v>
      </c>
      <c r="J51" s="77">
        <f t="shared" si="13"/>
        <v>142619.96565600001</v>
      </c>
      <c r="K51" s="77">
        <f t="shared" si="13"/>
        <v>142619.96565600001</v>
      </c>
      <c r="L51" s="77">
        <f t="shared" si="13"/>
        <v>142619.96565600001</v>
      </c>
      <c r="M51" s="77">
        <f t="shared" si="13"/>
        <v>142619.96565600001</v>
      </c>
      <c r="N51" s="77">
        <f t="shared" si="13"/>
        <v>142619.96565600001</v>
      </c>
      <c r="O51" s="77">
        <f t="shared" si="13"/>
        <v>1711439.5878720002</v>
      </c>
      <c r="P51" s="65"/>
    </row>
    <row r="52" spans="1:17" s="35" customFormat="1" x14ac:dyDescent="0.2">
      <c r="B52" s="82" t="s">
        <v>124</v>
      </c>
      <c r="C52" s="15">
        <f>'CHIFFRE D''AFFAIRE B2B'!U14</f>
        <v>0</v>
      </c>
      <c r="D52" s="15">
        <f>'CHIFFRE D''AFFAIRE B2B'!V14</f>
        <v>0</v>
      </c>
      <c r="E52" s="15">
        <f>'CHIFFRE D''AFFAIRE B2B'!W14</f>
        <v>17828.64</v>
      </c>
      <c r="F52" s="15">
        <f>'CHIFFRE D''AFFAIRE B2B'!X14</f>
        <v>0</v>
      </c>
      <c r="G52" s="15">
        <f>'CHIFFRE D''AFFAIRE B2B'!Y14</f>
        <v>0</v>
      </c>
      <c r="H52" s="15">
        <f>'CHIFFRE D''AFFAIRE B2B'!Z14</f>
        <v>17828.64</v>
      </c>
      <c r="I52" s="15">
        <f>'CHIFFRE D''AFFAIRE B2B'!AA14</f>
        <v>0</v>
      </c>
      <c r="J52" s="15">
        <f>'CHIFFRE D''AFFAIRE B2B'!AB14</f>
        <v>0</v>
      </c>
      <c r="K52" s="15">
        <f>'CHIFFRE D''AFFAIRE B2B'!AC14</f>
        <v>17828.64</v>
      </c>
      <c r="L52" s="15">
        <f>'CHIFFRE D''AFFAIRE B2B'!AD14</f>
        <v>0</v>
      </c>
      <c r="M52" s="15">
        <f>'CHIFFRE D''AFFAIRE B2B'!AE14</f>
        <v>0</v>
      </c>
      <c r="N52" s="15">
        <f>'CHIFFRE D''AFFAIRE B2B'!AF14</f>
        <v>17828.64</v>
      </c>
      <c r="O52" s="100">
        <f>SUM(C52:N52)</f>
        <v>71314.559999999998</v>
      </c>
      <c r="P52" s="65"/>
    </row>
    <row r="53" spans="1:17" s="35" customFormat="1" x14ac:dyDescent="0.2">
      <c r="B53" s="82" t="s">
        <v>125</v>
      </c>
      <c r="C53" s="15">
        <f>'CA - Visiophonie - B2B'!T18</f>
        <v>3823.75</v>
      </c>
      <c r="D53" s="15">
        <f>'CA - Visiophonie - B2B'!U18</f>
        <v>3823.75</v>
      </c>
      <c r="E53" s="15">
        <f>'CA - Visiophonie - B2B'!V18</f>
        <v>3823.75</v>
      </c>
      <c r="F53" s="15">
        <f>'CA - Visiophonie - B2B'!W18</f>
        <v>3823.75</v>
      </c>
      <c r="G53" s="15">
        <f>'CA - Visiophonie - B2B'!X18</f>
        <v>3823.75</v>
      </c>
      <c r="H53" s="15">
        <f>'CA - Visiophonie - B2B'!Y18</f>
        <v>3823.75</v>
      </c>
      <c r="I53" s="15">
        <f>'CA - Visiophonie - B2B'!Z18</f>
        <v>3823.75</v>
      </c>
      <c r="J53" s="15">
        <f>'CA - Visiophonie - B2B'!AA18</f>
        <v>3823.75</v>
      </c>
      <c r="K53" s="15">
        <f>'CA - Visiophonie - B2B'!AB18</f>
        <v>3823.75</v>
      </c>
      <c r="L53" s="15">
        <f>'CA - Visiophonie - B2B'!AC18</f>
        <v>3823.75</v>
      </c>
      <c r="M53" s="15">
        <f>'CA - Visiophonie - B2B'!AD18</f>
        <v>3823.75</v>
      </c>
      <c r="N53" s="15">
        <f>'CA - Visiophonie - B2B'!AE18</f>
        <v>3823.75</v>
      </c>
      <c r="O53" s="101">
        <f>SUM(C53:N53)</f>
        <v>45885</v>
      </c>
      <c r="P53" s="65"/>
    </row>
    <row r="54" spans="1:17" s="35" customFormat="1" x14ac:dyDescent="0.2">
      <c r="B54" s="76" t="s">
        <v>163</v>
      </c>
      <c r="C54" s="77">
        <f t="shared" ref="C54:O54" si="14">SUM(C52:C53)</f>
        <v>3823.75</v>
      </c>
      <c r="D54" s="77">
        <f t="shared" si="14"/>
        <v>3823.75</v>
      </c>
      <c r="E54" s="77">
        <f t="shared" si="14"/>
        <v>21652.39</v>
      </c>
      <c r="F54" s="77">
        <f t="shared" si="14"/>
        <v>3823.75</v>
      </c>
      <c r="G54" s="77">
        <f t="shared" si="14"/>
        <v>3823.75</v>
      </c>
      <c r="H54" s="77">
        <f t="shared" si="14"/>
        <v>21652.39</v>
      </c>
      <c r="I54" s="77">
        <f t="shared" si="14"/>
        <v>3823.75</v>
      </c>
      <c r="J54" s="77">
        <f t="shared" si="14"/>
        <v>3823.75</v>
      </c>
      <c r="K54" s="77">
        <f t="shared" si="14"/>
        <v>21652.39</v>
      </c>
      <c r="L54" s="77">
        <f t="shared" si="14"/>
        <v>3823.75</v>
      </c>
      <c r="M54" s="77">
        <f t="shared" si="14"/>
        <v>3823.75</v>
      </c>
      <c r="N54" s="77">
        <f t="shared" si="14"/>
        <v>21652.39</v>
      </c>
      <c r="O54" s="77">
        <f t="shared" si="14"/>
        <v>117199.56</v>
      </c>
      <c r="P54" s="65"/>
    </row>
    <row r="55" spans="1:17" s="35" customFormat="1" x14ac:dyDescent="0.2">
      <c r="B55" s="76" t="s">
        <v>164</v>
      </c>
      <c r="C55" s="77">
        <f t="shared" ref="C55:O55" si="15">SUM(C54,C51)</f>
        <v>146443.71565600001</v>
      </c>
      <c r="D55" s="77">
        <f t="shared" si="15"/>
        <v>146443.71565600001</v>
      </c>
      <c r="E55" s="77">
        <f t="shared" si="15"/>
        <v>164272.35565600003</v>
      </c>
      <c r="F55" s="77">
        <f t="shared" si="15"/>
        <v>146443.71565600001</v>
      </c>
      <c r="G55" s="77">
        <f t="shared" si="15"/>
        <v>146443.71565600001</v>
      </c>
      <c r="H55" s="77">
        <f t="shared" si="15"/>
        <v>164272.35565600003</v>
      </c>
      <c r="I55" s="77">
        <f t="shared" si="15"/>
        <v>146443.71565600001</v>
      </c>
      <c r="J55" s="77">
        <f t="shared" si="15"/>
        <v>146443.71565600001</v>
      </c>
      <c r="K55" s="77">
        <f t="shared" si="15"/>
        <v>164272.35565600003</v>
      </c>
      <c r="L55" s="77">
        <f t="shared" si="15"/>
        <v>146443.71565600001</v>
      </c>
      <c r="M55" s="77">
        <f t="shared" si="15"/>
        <v>146443.71565600001</v>
      </c>
      <c r="N55" s="77">
        <f t="shared" si="15"/>
        <v>164272.35565600003</v>
      </c>
      <c r="O55" s="77">
        <f t="shared" si="15"/>
        <v>1828639.1478720002</v>
      </c>
      <c r="P55" s="65"/>
    </row>
    <row r="56" spans="1:17" x14ac:dyDescent="0.2">
      <c r="A56" s="35"/>
      <c r="B56" s="70" t="s">
        <v>189</v>
      </c>
      <c r="O56" s="64"/>
      <c r="P56" s="65"/>
    </row>
    <row r="57" spans="1:17" x14ac:dyDescent="0.2">
      <c r="A57" s="35"/>
      <c r="B57" s="82" t="s">
        <v>190</v>
      </c>
      <c r="C57" s="42">
        <v>150</v>
      </c>
      <c r="D57" s="42">
        <v>150</v>
      </c>
      <c r="E57" s="42">
        <v>150</v>
      </c>
      <c r="F57" s="42">
        <v>150</v>
      </c>
      <c r="G57" s="42">
        <v>150</v>
      </c>
      <c r="H57" s="42">
        <v>150</v>
      </c>
      <c r="I57" s="42">
        <v>150</v>
      </c>
      <c r="J57" s="42">
        <v>150</v>
      </c>
      <c r="K57" s="42">
        <v>150</v>
      </c>
      <c r="L57" s="42">
        <v>150</v>
      </c>
      <c r="M57" s="42">
        <v>150</v>
      </c>
      <c r="N57" s="42">
        <v>150</v>
      </c>
      <c r="O57" s="81">
        <f>SUM(C57:N57)</f>
        <v>1800</v>
      </c>
      <c r="P57" s="65">
        <v>0.18</v>
      </c>
      <c r="Q57" s="35">
        <f>+O57*P57</f>
        <v>324</v>
      </c>
    </row>
    <row r="58" spans="1:17" ht="16" x14ac:dyDescent="0.2">
      <c r="A58" s="35"/>
      <c r="B58" s="67" t="s">
        <v>167</v>
      </c>
      <c r="C58" s="14">
        <v>700</v>
      </c>
      <c r="D58" s="14">
        <v>700</v>
      </c>
      <c r="E58" s="14">
        <v>700</v>
      </c>
      <c r="F58" s="14">
        <v>700</v>
      </c>
      <c r="G58" s="14">
        <v>700</v>
      </c>
      <c r="H58" s="14">
        <v>700</v>
      </c>
      <c r="I58" s="14">
        <v>700</v>
      </c>
      <c r="J58" s="14">
        <v>700</v>
      </c>
      <c r="K58" s="14">
        <v>700</v>
      </c>
      <c r="L58" s="14">
        <v>700</v>
      </c>
      <c r="M58" s="14">
        <v>700</v>
      </c>
      <c r="N58" s="14">
        <v>700</v>
      </c>
      <c r="O58" s="81">
        <f>SUM(C58:N58)</f>
        <v>8400</v>
      </c>
      <c r="P58" s="65">
        <v>0.12</v>
      </c>
      <c r="Q58" s="35">
        <f>+O58*P58</f>
        <v>1008</v>
      </c>
    </row>
    <row r="59" spans="1:17" ht="16" x14ac:dyDescent="0.2">
      <c r="A59" s="35"/>
      <c r="B59" s="67" t="s">
        <v>191</v>
      </c>
      <c r="C59" s="14">
        <v>500</v>
      </c>
      <c r="D59" s="14">
        <f t="shared" ref="D59:N59" si="16">+C59</f>
        <v>500</v>
      </c>
      <c r="E59" s="14">
        <f t="shared" si="16"/>
        <v>500</v>
      </c>
      <c r="F59" s="14">
        <f t="shared" si="16"/>
        <v>500</v>
      </c>
      <c r="G59" s="14">
        <f t="shared" si="16"/>
        <v>500</v>
      </c>
      <c r="H59" s="14">
        <f t="shared" si="16"/>
        <v>500</v>
      </c>
      <c r="I59" s="14">
        <f t="shared" si="16"/>
        <v>500</v>
      </c>
      <c r="J59" s="14">
        <f t="shared" si="16"/>
        <v>500</v>
      </c>
      <c r="K59" s="14">
        <f t="shared" si="16"/>
        <v>500</v>
      </c>
      <c r="L59" s="14">
        <f t="shared" si="16"/>
        <v>500</v>
      </c>
      <c r="M59" s="14">
        <f t="shared" si="16"/>
        <v>500</v>
      </c>
      <c r="N59" s="14">
        <f t="shared" si="16"/>
        <v>500</v>
      </c>
      <c r="O59" s="81">
        <f>SUM(C59:N59)</f>
        <v>6000</v>
      </c>
      <c r="P59" s="65">
        <v>0.12</v>
      </c>
      <c r="Q59" s="35">
        <f>+O59*P59</f>
        <v>720</v>
      </c>
    </row>
    <row r="60" spans="1:17" x14ac:dyDescent="0.2">
      <c r="A60" s="35"/>
      <c r="B60" s="76" t="s">
        <v>169</v>
      </c>
      <c r="C60" s="78">
        <f t="shared" ref="C60:O60" si="17">SUM(C57:C59)</f>
        <v>1350</v>
      </c>
      <c r="D60" s="78">
        <f t="shared" si="17"/>
        <v>1350</v>
      </c>
      <c r="E60" s="78">
        <f t="shared" si="17"/>
        <v>1350</v>
      </c>
      <c r="F60" s="78">
        <f t="shared" si="17"/>
        <v>1350</v>
      </c>
      <c r="G60" s="78">
        <f t="shared" si="17"/>
        <v>1350</v>
      </c>
      <c r="H60" s="78">
        <f t="shared" si="17"/>
        <v>1350</v>
      </c>
      <c r="I60" s="78">
        <f t="shared" si="17"/>
        <v>1350</v>
      </c>
      <c r="J60" s="78">
        <f t="shared" si="17"/>
        <v>1350</v>
      </c>
      <c r="K60" s="78">
        <f t="shared" si="17"/>
        <v>1350</v>
      </c>
      <c r="L60" s="78">
        <f t="shared" si="17"/>
        <v>1350</v>
      </c>
      <c r="M60" s="78">
        <f t="shared" si="17"/>
        <v>1350</v>
      </c>
      <c r="N60" s="78">
        <f t="shared" si="17"/>
        <v>1350</v>
      </c>
      <c r="O60" s="78">
        <f t="shared" si="17"/>
        <v>16200</v>
      </c>
      <c r="P60" s="78"/>
      <c r="Q60" s="78">
        <f>SUM(Q57:Q59)</f>
        <v>2052</v>
      </c>
    </row>
    <row r="61" spans="1:17" s="35" customFormat="1" x14ac:dyDescent="0.2">
      <c r="B61" s="82" t="s">
        <v>170</v>
      </c>
      <c r="C61" s="43">
        <f t="shared" ref="C61:N61" si="18">$O$61/12</f>
        <v>603.74999999999989</v>
      </c>
      <c r="D61" s="43">
        <f t="shared" si="18"/>
        <v>603.74999999999989</v>
      </c>
      <c r="E61" s="43">
        <f t="shared" si="18"/>
        <v>603.74999999999989</v>
      </c>
      <c r="F61" s="43">
        <f t="shared" si="18"/>
        <v>603.74999999999989</v>
      </c>
      <c r="G61" s="43">
        <f t="shared" si="18"/>
        <v>603.74999999999989</v>
      </c>
      <c r="H61" s="43">
        <f t="shared" si="18"/>
        <v>603.74999999999989</v>
      </c>
      <c r="I61" s="43">
        <f t="shared" si="18"/>
        <v>603.74999999999989</v>
      </c>
      <c r="J61" s="43">
        <f t="shared" si="18"/>
        <v>603.74999999999989</v>
      </c>
      <c r="K61" s="43">
        <f t="shared" si="18"/>
        <v>603.74999999999989</v>
      </c>
      <c r="L61" s="43">
        <f t="shared" si="18"/>
        <v>603.74999999999989</v>
      </c>
      <c r="M61" s="43">
        <f t="shared" si="18"/>
        <v>603.74999999999989</v>
      </c>
      <c r="N61" s="43">
        <f t="shared" si="18"/>
        <v>603.74999999999989</v>
      </c>
      <c r="O61" s="40">
        <f>'Frais IBM WATSON'!Y16</f>
        <v>7244.9999999999991</v>
      </c>
      <c r="P61" s="34"/>
      <c r="Q61" s="34"/>
    </row>
    <row r="62" spans="1:17" s="35" customFormat="1" ht="28" x14ac:dyDescent="0.2">
      <c r="B62" s="82" t="s">
        <v>171</v>
      </c>
      <c r="C62" s="43">
        <f t="shared" ref="C62:N62" si="19">$O$62/12</f>
        <v>990.48</v>
      </c>
      <c r="D62" s="43">
        <f t="shared" si="19"/>
        <v>990.48</v>
      </c>
      <c r="E62" s="43">
        <f t="shared" si="19"/>
        <v>990.48</v>
      </c>
      <c r="F62" s="43">
        <f t="shared" si="19"/>
        <v>990.48</v>
      </c>
      <c r="G62" s="43">
        <f t="shared" si="19"/>
        <v>990.48</v>
      </c>
      <c r="H62" s="43">
        <f t="shared" si="19"/>
        <v>990.48</v>
      </c>
      <c r="I62" s="43">
        <f t="shared" si="19"/>
        <v>990.48</v>
      </c>
      <c r="J62" s="43">
        <f t="shared" si="19"/>
        <v>990.48</v>
      </c>
      <c r="K62" s="43">
        <f t="shared" si="19"/>
        <v>990.48</v>
      </c>
      <c r="L62" s="43">
        <f t="shared" si="19"/>
        <v>990.48</v>
      </c>
      <c r="M62" s="43">
        <f t="shared" si="19"/>
        <v>990.48</v>
      </c>
      <c r="N62" s="43">
        <f t="shared" si="19"/>
        <v>990.48</v>
      </c>
      <c r="O62" s="40">
        <f>'Frais Readspeaker'!C4</f>
        <v>11885.76</v>
      </c>
      <c r="P62" s="34"/>
      <c r="Q62" s="34"/>
    </row>
    <row r="63" spans="1:17" s="35" customFormat="1" x14ac:dyDescent="0.2">
      <c r="B63" s="82" t="s">
        <v>172</v>
      </c>
      <c r="C63" s="43"/>
      <c r="D63" s="43"/>
      <c r="E63" s="43">
        <f>'Frais Readspeaker'!C4</f>
        <v>11885.76</v>
      </c>
      <c r="F63" s="43"/>
      <c r="G63" s="43"/>
      <c r="H63" s="43">
        <f>'Frais Readspeaker'!C4</f>
        <v>11885.76</v>
      </c>
      <c r="I63" s="43"/>
      <c r="J63" s="43"/>
      <c r="K63" s="43">
        <f>'Frais Readspeaker'!C4</f>
        <v>11885.76</v>
      </c>
      <c r="L63" s="43"/>
      <c r="M63" s="43"/>
      <c r="N63" s="43"/>
      <c r="O63" s="40">
        <f t="shared" ref="O63:O71" si="20">SUM(C63:N63)</f>
        <v>35657.279999999999</v>
      </c>
      <c r="P63" s="34"/>
      <c r="Q63" s="34"/>
    </row>
    <row r="64" spans="1:17" ht="28" x14ac:dyDescent="0.2">
      <c r="A64" s="35"/>
      <c r="B64" s="82" t="s">
        <v>192</v>
      </c>
      <c r="C64" s="42">
        <f t="shared" ref="C64:N64" si="21">C21*1.05</f>
        <v>420</v>
      </c>
      <c r="D64" s="42">
        <f t="shared" si="21"/>
        <v>420</v>
      </c>
      <c r="E64" s="42">
        <f t="shared" si="21"/>
        <v>420</v>
      </c>
      <c r="F64" s="42">
        <f t="shared" si="21"/>
        <v>420</v>
      </c>
      <c r="G64" s="42">
        <f t="shared" si="21"/>
        <v>420</v>
      </c>
      <c r="H64" s="42">
        <f t="shared" si="21"/>
        <v>420</v>
      </c>
      <c r="I64" s="42">
        <f t="shared" si="21"/>
        <v>420</v>
      </c>
      <c r="J64" s="42">
        <f t="shared" si="21"/>
        <v>420</v>
      </c>
      <c r="K64" s="42">
        <f t="shared" si="21"/>
        <v>420</v>
      </c>
      <c r="L64" s="42">
        <f t="shared" si="21"/>
        <v>420</v>
      </c>
      <c r="M64" s="42">
        <f t="shared" si="21"/>
        <v>420</v>
      </c>
      <c r="N64" s="42">
        <f t="shared" si="21"/>
        <v>420</v>
      </c>
      <c r="O64" s="39">
        <f t="shared" si="20"/>
        <v>5040</v>
      </c>
      <c r="P64" s="34"/>
      <c r="Q64" s="34"/>
    </row>
    <row r="65" spans="1:17" ht="26.25" customHeight="1" x14ac:dyDescent="0.2">
      <c r="A65" s="35"/>
      <c r="B65" s="82" t="s">
        <v>174</v>
      </c>
      <c r="C65" s="42">
        <v>150</v>
      </c>
      <c r="D65" s="42">
        <v>150</v>
      </c>
      <c r="E65" s="42">
        <v>150</v>
      </c>
      <c r="F65" s="42">
        <v>150</v>
      </c>
      <c r="G65" s="42">
        <v>150</v>
      </c>
      <c r="H65" s="42">
        <v>150</v>
      </c>
      <c r="I65" s="42">
        <v>150</v>
      </c>
      <c r="J65" s="42">
        <v>150</v>
      </c>
      <c r="K65" s="42">
        <v>150</v>
      </c>
      <c r="L65" s="42">
        <v>150</v>
      </c>
      <c r="M65" s="42">
        <v>150</v>
      </c>
      <c r="N65" s="42">
        <v>150</v>
      </c>
      <c r="O65" s="81">
        <f t="shared" si="20"/>
        <v>1800</v>
      </c>
      <c r="P65" s="34"/>
      <c r="Q65" s="34"/>
    </row>
    <row r="66" spans="1:17" x14ac:dyDescent="0.2">
      <c r="A66" s="35"/>
      <c r="B66" s="82" t="s">
        <v>175</v>
      </c>
      <c r="C66" s="42">
        <f t="shared" ref="C66:N66" si="22">C23</f>
        <v>100</v>
      </c>
      <c r="D66" s="42">
        <f t="shared" si="22"/>
        <v>100</v>
      </c>
      <c r="E66" s="42">
        <f t="shared" si="22"/>
        <v>100</v>
      </c>
      <c r="F66" s="42">
        <f t="shared" si="22"/>
        <v>100</v>
      </c>
      <c r="G66" s="42">
        <f t="shared" si="22"/>
        <v>100</v>
      </c>
      <c r="H66" s="42">
        <f t="shared" si="22"/>
        <v>100</v>
      </c>
      <c r="I66" s="42">
        <f t="shared" si="22"/>
        <v>100</v>
      </c>
      <c r="J66" s="42">
        <f t="shared" si="22"/>
        <v>100</v>
      </c>
      <c r="K66" s="42">
        <f t="shared" si="22"/>
        <v>100</v>
      </c>
      <c r="L66" s="42">
        <f t="shared" si="22"/>
        <v>100</v>
      </c>
      <c r="M66" s="42">
        <f t="shared" si="22"/>
        <v>100</v>
      </c>
      <c r="N66" s="42">
        <f t="shared" si="22"/>
        <v>100</v>
      </c>
      <c r="O66" s="81">
        <f t="shared" si="20"/>
        <v>1200</v>
      </c>
      <c r="P66" s="34"/>
      <c r="Q66" s="34"/>
    </row>
    <row r="67" spans="1:17" s="35" customFormat="1" ht="16" x14ac:dyDescent="0.2">
      <c r="B67" s="67" t="s">
        <v>176</v>
      </c>
      <c r="C67" s="42">
        <f>+N24*1.05</f>
        <v>4200</v>
      </c>
      <c r="D67" s="14">
        <f t="shared" ref="D67:N67" si="23">C67</f>
        <v>4200</v>
      </c>
      <c r="E67" s="14">
        <f t="shared" si="23"/>
        <v>4200</v>
      </c>
      <c r="F67" s="14">
        <f t="shared" si="23"/>
        <v>4200</v>
      </c>
      <c r="G67" s="14">
        <f t="shared" si="23"/>
        <v>4200</v>
      </c>
      <c r="H67" s="14">
        <f t="shared" si="23"/>
        <v>4200</v>
      </c>
      <c r="I67" s="14">
        <f t="shared" si="23"/>
        <v>4200</v>
      </c>
      <c r="J67" s="14">
        <f t="shared" si="23"/>
        <v>4200</v>
      </c>
      <c r="K67" s="14">
        <f t="shared" si="23"/>
        <v>4200</v>
      </c>
      <c r="L67" s="14">
        <f t="shared" si="23"/>
        <v>4200</v>
      </c>
      <c r="M67" s="14">
        <f t="shared" si="23"/>
        <v>4200</v>
      </c>
      <c r="N67" s="14">
        <f t="shared" si="23"/>
        <v>4200</v>
      </c>
      <c r="O67" s="81">
        <f t="shared" si="20"/>
        <v>50400</v>
      </c>
      <c r="P67" s="65">
        <v>0.12</v>
      </c>
      <c r="Q67" s="35">
        <f>+O67*P67</f>
        <v>6048</v>
      </c>
    </row>
    <row r="68" spans="1:17" ht="12.75" customHeight="1" x14ac:dyDescent="0.2">
      <c r="A68" s="35"/>
      <c r="B68" s="82" t="s">
        <v>177</v>
      </c>
      <c r="C68" s="14">
        <f t="shared" ref="C68:N68" si="24">C25</f>
        <v>300</v>
      </c>
      <c r="D68" s="14">
        <f t="shared" si="24"/>
        <v>300</v>
      </c>
      <c r="E68" s="14">
        <f t="shared" si="24"/>
        <v>300</v>
      </c>
      <c r="F68" s="14">
        <f t="shared" si="24"/>
        <v>300</v>
      </c>
      <c r="G68" s="14">
        <f t="shared" si="24"/>
        <v>300</v>
      </c>
      <c r="H68" s="14">
        <f t="shared" si="24"/>
        <v>300</v>
      </c>
      <c r="I68" s="14">
        <f t="shared" si="24"/>
        <v>300</v>
      </c>
      <c r="J68" s="14">
        <f t="shared" si="24"/>
        <v>300</v>
      </c>
      <c r="K68" s="14">
        <f t="shared" si="24"/>
        <v>300</v>
      </c>
      <c r="L68" s="14">
        <f t="shared" si="24"/>
        <v>300</v>
      </c>
      <c r="M68" s="14">
        <f t="shared" si="24"/>
        <v>300</v>
      </c>
      <c r="N68" s="14">
        <f t="shared" si="24"/>
        <v>300</v>
      </c>
      <c r="O68" s="81">
        <f t="shared" si="20"/>
        <v>3600</v>
      </c>
      <c r="P68" s="65">
        <v>0.12</v>
      </c>
      <c r="Q68" s="35">
        <f>+O68*P68</f>
        <v>432</v>
      </c>
    </row>
    <row r="69" spans="1:17" ht="12.75" customHeight="1" x14ac:dyDescent="0.2">
      <c r="A69" s="35"/>
      <c r="B69" s="67" t="s">
        <v>178</v>
      </c>
      <c r="C69" s="14">
        <v>800</v>
      </c>
      <c r="D69" s="14">
        <v>800</v>
      </c>
      <c r="E69" s="14">
        <v>800</v>
      </c>
      <c r="F69" s="14">
        <v>800</v>
      </c>
      <c r="G69" s="14">
        <v>800</v>
      </c>
      <c r="H69" s="14">
        <v>800</v>
      </c>
      <c r="I69" s="14">
        <v>800</v>
      </c>
      <c r="J69" s="14">
        <v>800</v>
      </c>
      <c r="K69" s="14">
        <v>800</v>
      </c>
      <c r="L69" s="14">
        <v>800</v>
      </c>
      <c r="M69" s="14">
        <v>800</v>
      </c>
      <c r="N69" s="14">
        <v>800</v>
      </c>
      <c r="O69" s="81">
        <f t="shared" si="20"/>
        <v>9600</v>
      </c>
      <c r="P69" s="65">
        <v>0.18</v>
      </c>
      <c r="Q69" s="35">
        <f>+O69*P69</f>
        <v>1728</v>
      </c>
    </row>
    <row r="70" spans="1:17" s="102" customFormat="1" ht="12.75" customHeight="1" x14ac:dyDescent="0.2">
      <c r="B70" s="103" t="s">
        <v>193</v>
      </c>
      <c r="C70" s="104">
        <v>1000</v>
      </c>
      <c r="D70" s="104"/>
      <c r="E70" s="104">
        <v>5500</v>
      </c>
      <c r="F70" s="104"/>
      <c r="G70" s="104"/>
      <c r="H70" s="104"/>
      <c r="I70" s="104"/>
      <c r="J70" s="104"/>
      <c r="K70" s="104"/>
      <c r="L70" s="104"/>
      <c r="M70" s="104"/>
      <c r="N70" s="104"/>
      <c r="O70" s="105">
        <f t="shared" si="20"/>
        <v>6500</v>
      </c>
      <c r="P70" s="106">
        <v>0.18</v>
      </c>
      <c r="Q70" s="102">
        <f>+O70*P70</f>
        <v>1170</v>
      </c>
    </row>
    <row r="71" spans="1:17" s="35" customFormat="1" ht="12.75" customHeight="1" x14ac:dyDescent="0.2">
      <c r="B71" s="82" t="s">
        <v>180</v>
      </c>
      <c r="C71" s="14"/>
      <c r="D71" s="14"/>
      <c r="E71" s="14">
        <f>'Plan de communication'!F16</f>
        <v>3550</v>
      </c>
      <c r="F71" s="14"/>
      <c r="G71" s="14"/>
      <c r="H71" s="14">
        <f>'Plan de communication'!G16</f>
        <v>5350</v>
      </c>
      <c r="I71" s="14"/>
      <c r="J71" s="14"/>
      <c r="K71" s="14">
        <f>'Plan de communication'!H16</f>
        <v>4250</v>
      </c>
      <c r="L71" s="14"/>
      <c r="M71" s="14"/>
      <c r="N71" s="14">
        <f>'Plan de communication'!I16</f>
        <v>9350</v>
      </c>
      <c r="O71" s="81">
        <f t="shared" si="20"/>
        <v>22500</v>
      </c>
      <c r="P71" s="65">
        <v>0.12</v>
      </c>
      <c r="Q71" s="35">
        <f>+O71*P71</f>
        <v>2700</v>
      </c>
    </row>
    <row r="72" spans="1:17" ht="12.75" customHeight="1" x14ac:dyDescent="0.2">
      <c r="A72" s="35"/>
      <c r="B72" s="76" t="s">
        <v>181</v>
      </c>
      <c r="C72" s="77">
        <f t="shared" ref="C72:O72" si="25">SUM(C61:C71)</f>
        <v>8564.23</v>
      </c>
      <c r="D72" s="77">
        <f t="shared" si="25"/>
        <v>7564.23</v>
      </c>
      <c r="E72" s="77">
        <f t="shared" si="25"/>
        <v>28499.989999999998</v>
      </c>
      <c r="F72" s="77">
        <f t="shared" si="25"/>
        <v>7564.23</v>
      </c>
      <c r="G72" s="77">
        <f t="shared" si="25"/>
        <v>7564.23</v>
      </c>
      <c r="H72" s="77">
        <f t="shared" si="25"/>
        <v>24799.989999999998</v>
      </c>
      <c r="I72" s="77">
        <f t="shared" si="25"/>
        <v>7564.23</v>
      </c>
      <c r="J72" s="77">
        <f t="shared" si="25"/>
        <v>7564.23</v>
      </c>
      <c r="K72" s="77">
        <f t="shared" si="25"/>
        <v>23699.989999999998</v>
      </c>
      <c r="L72" s="77">
        <f t="shared" si="25"/>
        <v>7564.23</v>
      </c>
      <c r="M72" s="77">
        <f t="shared" si="25"/>
        <v>7564.23</v>
      </c>
      <c r="N72" s="77">
        <f t="shared" si="25"/>
        <v>16914.23</v>
      </c>
      <c r="O72" s="77">
        <f t="shared" si="25"/>
        <v>155428.03999999998</v>
      </c>
      <c r="P72" s="65"/>
      <c r="Q72" s="78">
        <f>SUM(Q67:Q71)</f>
        <v>12078</v>
      </c>
    </row>
    <row r="73" spans="1:17" ht="12.75" customHeight="1" x14ac:dyDescent="0.2">
      <c r="A73" s="35"/>
      <c r="B73" s="76" t="s">
        <v>194</v>
      </c>
      <c r="C73" s="77">
        <f t="shared" ref="C73:N73" si="26">$O$73/12</f>
        <v>41080.5</v>
      </c>
      <c r="D73" s="77">
        <f t="shared" si="26"/>
        <v>41080.5</v>
      </c>
      <c r="E73" s="77">
        <f t="shared" si="26"/>
        <v>41080.5</v>
      </c>
      <c r="F73" s="77">
        <f t="shared" si="26"/>
        <v>41080.5</v>
      </c>
      <c r="G73" s="77">
        <f t="shared" si="26"/>
        <v>41080.5</v>
      </c>
      <c r="H73" s="77">
        <f t="shared" si="26"/>
        <v>41080.5</v>
      </c>
      <c r="I73" s="77">
        <f t="shared" si="26"/>
        <v>41080.5</v>
      </c>
      <c r="J73" s="77">
        <f t="shared" si="26"/>
        <v>41080.5</v>
      </c>
      <c r="K73" s="77">
        <f t="shared" si="26"/>
        <v>41080.5</v>
      </c>
      <c r="L73" s="77">
        <f t="shared" si="26"/>
        <v>41080.5</v>
      </c>
      <c r="M73" s="77">
        <f t="shared" si="26"/>
        <v>41080.5</v>
      </c>
      <c r="N73" s="77">
        <f t="shared" si="26"/>
        <v>41080.5</v>
      </c>
      <c r="O73" s="77">
        <f>'Budget RH en nombre TTC'!E49</f>
        <v>492966</v>
      </c>
      <c r="P73" s="65"/>
      <c r="Q73" s="87"/>
    </row>
    <row r="74" spans="1:17" ht="27" customHeight="1" x14ac:dyDescent="0.2">
      <c r="A74" s="35"/>
      <c r="B74" s="88" t="s">
        <v>183</v>
      </c>
      <c r="C74" s="89">
        <f t="shared" ref="C74:O74" si="27">C60+C72+C73</f>
        <v>50994.729999999996</v>
      </c>
      <c r="D74" s="89">
        <f t="shared" si="27"/>
        <v>49994.729999999996</v>
      </c>
      <c r="E74" s="89">
        <f t="shared" si="27"/>
        <v>70930.489999999991</v>
      </c>
      <c r="F74" s="89">
        <f t="shared" si="27"/>
        <v>49994.729999999996</v>
      </c>
      <c r="G74" s="89">
        <f t="shared" si="27"/>
        <v>49994.729999999996</v>
      </c>
      <c r="H74" s="89">
        <f t="shared" si="27"/>
        <v>67230.489999999991</v>
      </c>
      <c r="I74" s="89">
        <f t="shared" si="27"/>
        <v>49994.729999999996</v>
      </c>
      <c r="J74" s="89">
        <f t="shared" si="27"/>
        <v>49994.729999999996</v>
      </c>
      <c r="K74" s="89">
        <f t="shared" si="27"/>
        <v>66130.489999999991</v>
      </c>
      <c r="L74" s="89">
        <f t="shared" si="27"/>
        <v>49994.729999999996</v>
      </c>
      <c r="M74" s="89">
        <f t="shared" si="27"/>
        <v>49994.729999999996</v>
      </c>
      <c r="N74" s="89">
        <f t="shared" si="27"/>
        <v>59344.729999999996</v>
      </c>
      <c r="O74" s="89">
        <f t="shared" si="27"/>
        <v>664594.04</v>
      </c>
      <c r="P74" s="65"/>
    </row>
    <row r="75" spans="1:17" s="35" customFormat="1" ht="12.75" customHeight="1" x14ac:dyDescent="0.2">
      <c r="B75" s="82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95"/>
      <c r="P75" s="65"/>
    </row>
    <row r="76" spans="1:17" ht="12.75" customHeight="1" x14ac:dyDescent="0.2">
      <c r="A76" s="35"/>
      <c r="B76" s="82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68"/>
      <c r="P76" s="65"/>
    </row>
    <row r="77" spans="1:17" s="83" customFormat="1" ht="12.75" customHeight="1" x14ac:dyDescent="0.15">
      <c r="B77" s="96"/>
      <c r="C77" s="92"/>
      <c r="D77" s="92"/>
      <c r="E77" s="92"/>
      <c r="F77" s="92"/>
      <c r="G77" s="92"/>
      <c r="H77" s="92"/>
      <c r="I77" s="92"/>
      <c r="J77" s="92"/>
      <c r="K77" s="92"/>
      <c r="L77" s="92"/>
      <c r="M77" s="92"/>
      <c r="N77" s="92"/>
      <c r="O77" s="93"/>
      <c r="P77" s="107"/>
    </row>
    <row r="78" spans="1:17" s="35" customFormat="1" ht="12.75" customHeight="1" x14ac:dyDescent="0.2">
      <c r="B78" s="82"/>
      <c r="C78" s="94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95"/>
      <c r="P78" s="65"/>
    </row>
    <row r="79" spans="1:17" ht="12.75" customHeight="1" x14ac:dyDescent="0.2">
      <c r="A79" s="35"/>
      <c r="B79" s="82"/>
      <c r="C79" s="94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68"/>
      <c r="P79" s="65"/>
    </row>
    <row r="80" spans="1:17" s="83" customFormat="1" ht="12.75" customHeight="1" x14ac:dyDescent="0.15">
      <c r="B80" s="96"/>
      <c r="C80" s="92"/>
      <c r="D80" s="92"/>
      <c r="E80" s="92"/>
      <c r="F80" s="92"/>
      <c r="G80" s="92"/>
      <c r="H80" s="92"/>
      <c r="I80" s="92"/>
      <c r="J80" s="92"/>
      <c r="K80" s="92"/>
      <c r="L80" s="92"/>
      <c r="M80" s="92"/>
      <c r="N80" s="92"/>
      <c r="O80" s="93"/>
      <c r="P80" s="107"/>
    </row>
    <row r="81" spans="1:16" s="35" customFormat="1" ht="29.25" customHeight="1" x14ac:dyDescent="0.2">
      <c r="B81" s="88" t="s">
        <v>195</v>
      </c>
      <c r="C81" s="97">
        <f t="shared" ref="C81:N81" si="28">SUM(C77:C80)</f>
        <v>0</v>
      </c>
      <c r="D81" s="97">
        <f t="shared" si="28"/>
        <v>0</v>
      </c>
      <c r="E81" s="97">
        <f t="shared" si="28"/>
        <v>0</v>
      </c>
      <c r="F81" s="97">
        <f t="shared" si="28"/>
        <v>0</v>
      </c>
      <c r="G81" s="97">
        <f t="shared" si="28"/>
        <v>0</v>
      </c>
      <c r="H81" s="97">
        <f t="shared" si="28"/>
        <v>0</v>
      </c>
      <c r="I81" s="97">
        <f t="shared" si="28"/>
        <v>0</v>
      </c>
      <c r="J81" s="97">
        <f t="shared" si="28"/>
        <v>0</v>
      </c>
      <c r="K81" s="97">
        <f t="shared" si="28"/>
        <v>0</v>
      </c>
      <c r="L81" s="97">
        <f t="shared" si="28"/>
        <v>0</v>
      </c>
      <c r="M81" s="97">
        <f t="shared" si="28"/>
        <v>0</v>
      </c>
      <c r="N81" s="97">
        <f t="shared" si="28"/>
        <v>0</v>
      </c>
      <c r="O81" s="68">
        <f>O77+O80</f>
        <v>0</v>
      </c>
      <c r="P81" s="65"/>
    </row>
    <row r="82" spans="1:16" ht="12.75" customHeight="1" x14ac:dyDescent="0.2">
      <c r="A82" s="35"/>
      <c r="B82" s="66"/>
      <c r="O82" s="64"/>
      <c r="P82" s="65"/>
    </row>
    <row r="83" spans="1:16" ht="12.75" customHeight="1" x14ac:dyDescent="0.2">
      <c r="A83" s="35"/>
      <c r="B83" s="66"/>
      <c r="O83" s="64"/>
      <c r="P83" s="65"/>
    </row>
    <row r="84" spans="1:16" ht="32.25" customHeight="1" x14ac:dyDescent="0.2">
      <c r="A84" s="35"/>
      <c r="B84" s="88" t="s">
        <v>187</v>
      </c>
      <c r="C84" s="97">
        <f t="shared" ref="C84:O84" si="29">C74+C81</f>
        <v>50994.729999999996</v>
      </c>
      <c r="D84" s="97">
        <f t="shared" si="29"/>
        <v>49994.729999999996</v>
      </c>
      <c r="E84" s="97">
        <f t="shared" si="29"/>
        <v>70930.489999999991</v>
      </c>
      <c r="F84" s="97">
        <f t="shared" si="29"/>
        <v>49994.729999999996</v>
      </c>
      <c r="G84" s="97">
        <f t="shared" si="29"/>
        <v>49994.729999999996</v>
      </c>
      <c r="H84" s="97">
        <f t="shared" si="29"/>
        <v>67230.489999999991</v>
      </c>
      <c r="I84" s="97">
        <f t="shared" si="29"/>
        <v>49994.729999999996</v>
      </c>
      <c r="J84" s="97">
        <f t="shared" si="29"/>
        <v>49994.729999999996</v>
      </c>
      <c r="K84" s="97">
        <f t="shared" si="29"/>
        <v>66130.489999999991</v>
      </c>
      <c r="L84" s="97">
        <f t="shared" si="29"/>
        <v>49994.729999999996</v>
      </c>
      <c r="M84" s="97">
        <f t="shared" si="29"/>
        <v>49994.729999999996</v>
      </c>
      <c r="N84" s="97">
        <f t="shared" si="29"/>
        <v>59344.729999999996</v>
      </c>
      <c r="O84" s="68">
        <f t="shared" si="29"/>
        <v>664594.04</v>
      </c>
      <c r="P84" s="65"/>
    </row>
    <row r="85" spans="1:16" ht="12.75" customHeight="1" x14ac:dyDescent="0.2">
      <c r="A85" s="35"/>
      <c r="B85" s="66"/>
      <c r="O85" s="64"/>
      <c r="P85" s="65"/>
    </row>
    <row r="86" spans="1:16" ht="12.75" customHeight="1" x14ac:dyDescent="0.2">
      <c r="A86" s="35"/>
      <c r="B86" s="66"/>
      <c r="O86" s="64"/>
      <c r="P86" s="65"/>
    </row>
    <row r="87" spans="1:16" ht="12.75" customHeight="1" x14ac:dyDescent="0.2">
      <c r="A87" s="35"/>
      <c r="B87" s="66"/>
      <c r="O87" s="64"/>
      <c r="P87" s="65"/>
    </row>
    <row r="88" spans="1:16" s="35" customFormat="1" ht="31.5" customHeight="1" x14ac:dyDescent="0.2">
      <c r="B88" s="211" t="s">
        <v>196</v>
      </c>
      <c r="C88" s="211"/>
      <c r="D88" s="211"/>
      <c r="E88" s="211"/>
      <c r="F88" s="211"/>
      <c r="G88" s="211"/>
      <c r="H88" s="211"/>
      <c r="I88" s="211"/>
      <c r="J88" s="211"/>
      <c r="K88" s="211"/>
      <c r="L88" s="211"/>
      <c r="O88" s="64"/>
      <c r="P88" s="65"/>
    </row>
    <row r="89" spans="1:16" s="35" customFormat="1" ht="12.75" customHeight="1" x14ac:dyDescent="0.2">
      <c r="B89" s="66"/>
      <c r="O89" s="64"/>
      <c r="P89" s="65"/>
    </row>
    <row r="90" spans="1:16" ht="12.75" customHeight="1" x14ac:dyDescent="0.2">
      <c r="A90" s="35"/>
      <c r="B90" s="98"/>
      <c r="C90" s="39" t="s">
        <v>145</v>
      </c>
      <c r="D90" s="39" t="s">
        <v>146</v>
      </c>
      <c r="E90" s="39" t="s">
        <v>147</v>
      </c>
      <c r="F90" s="39" t="s">
        <v>148</v>
      </c>
      <c r="G90" s="39" t="s">
        <v>149</v>
      </c>
      <c r="H90" s="39" t="s">
        <v>150</v>
      </c>
      <c r="I90" s="39" t="s">
        <v>151</v>
      </c>
      <c r="J90" s="39" t="s">
        <v>152</v>
      </c>
      <c r="K90" s="39" t="s">
        <v>153</v>
      </c>
      <c r="L90" s="39" t="s">
        <v>154</v>
      </c>
      <c r="M90" s="39" t="s">
        <v>155</v>
      </c>
      <c r="N90" s="39" t="s">
        <v>156</v>
      </c>
      <c r="O90" s="68" t="s">
        <v>157</v>
      </c>
      <c r="P90" s="108" t="s">
        <v>107</v>
      </c>
    </row>
    <row r="91" spans="1:16" ht="12.75" customHeight="1" x14ac:dyDescent="0.2">
      <c r="A91" s="35"/>
      <c r="B91" s="70" t="s">
        <v>197</v>
      </c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80"/>
      <c r="P91" s="65"/>
    </row>
    <row r="92" spans="1:16" ht="12.75" customHeight="1" x14ac:dyDescent="0.2">
      <c r="A92" s="35"/>
      <c r="B92" s="82" t="s">
        <v>159</v>
      </c>
      <c r="C92" s="15">
        <f>'CA - Readspeaker et IBM Watson'!AM19</f>
        <v>96330</v>
      </c>
      <c r="D92" s="15">
        <f>'CA - Readspeaker et IBM Watson'!AN19</f>
        <v>96330</v>
      </c>
      <c r="E92" s="15">
        <f>'CA - Readspeaker et IBM Watson'!AO19</f>
        <v>96330</v>
      </c>
      <c r="F92" s="15">
        <f>'CA - Readspeaker et IBM Watson'!AP19</f>
        <v>96330</v>
      </c>
      <c r="G92" s="15">
        <f>'CA - Readspeaker et IBM Watson'!AQ19</f>
        <v>96330</v>
      </c>
      <c r="H92" s="15">
        <f>'CA - Readspeaker et IBM Watson'!AR19</f>
        <v>96330</v>
      </c>
      <c r="I92" s="15">
        <f>'CA - Readspeaker et IBM Watson'!AS19</f>
        <v>96330</v>
      </c>
      <c r="J92" s="15">
        <f>'CA - Readspeaker et IBM Watson'!AT19</f>
        <v>96330</v>
      </c>
      <c r="K92" s="15">
        <f>'CA - Readspeaker et IBM Watson'!AU19</f>
        <v>96330</v>
      </c>
      <c r="L92" s="15">
        <f>'CA - Readspeaker et IBM Watson'!AV19</f>
        <v>96330</v>
      </c>
      <c r="M92" s="15">
        <f>'CA - Readspeaker et IBM Watson'!AW19</f>
        <v>96330</v>
      </c>
      <c r="N92" s="15">
        <f>'CA - Readspeaker et IBM Watson'!AX19</f>
        <v>96330</v>
      </c>
      <c r="O92" s="100">
        <f>SUM(C92:N92)</f>
        <v>1155960</v>
      </c>
      <c r="P92" s="65"/>
    </row>
    <row r="93" spans="1:16" ht="12.75" customHeight="1" x14ac:dyDescent="0.2">
      <c r="A93" s="35"/>
      <c r="B93" s="82" t="s">
        <v>160</v>
      </c>
      <c r="C93" s="15">
        <f>'CA - Readspeaker et IBM Watson'!AM40</f>
        <v>33586.892352000003</v>
      </c>
      <c r="D93" s="15">
        <f>'CA - Readspeaker et IBM Watson'!AN40</f>
        <v>33586.892352000003</v>
      </c>
      <c r="E93" s="15">
        <f>'CA - Readspeaker et IBM Watson'!AO40</f>
        <v>33586.892352000003</v>
      </c>
      <c r="F93" s="15">
        <f>'CA - Readspeaker et IBM Watson'!AP40</f>
        <v>33586.892352000003</v>
      </c>
      <c r="G93" s="15">
        <f>'CA - Readspeaker et IBM Watson'!AQ40</f>
        <v>33586.892352000003</v>
      </c>
      <c r="H93" s="15">
        <f>'CA - Readspeaker et IBM Watson'!AR40</f>
        <v>33586.892352000003</v>
      </c>
      <c r="I93" s="15">
        <f>'CA - Readspeaker et IBM Watson'!AS40</f>
        <v>33586.892352000003</v>
      </c>
      <c r="J93" s="15">
        <f>'CA - Readspeaker et IBM Watson'!AT40</f>
        <v>33586.892352000003</v>
      </c>
      <c r="K93" s="15">
        <f>'CA - Readspeaker et IBM Watson'!AU40</f>
        <v>33586.892352000003</v>
      </c>
      <c r="L93" s="15">
        <f>'CA - Readspeaker et IBM Watson'!AV40</f>
        <v>33586.892352000003</v>
      </c>
      <c r="M93" s="15">
        <f>'CA - Readspeaker et IBM Watson'!AW40</f>
        <v>33586.892352000003</v>
      </c>
      <c r="N93" s="15">
        <f>'CA - Readspeaker et IBM Watson'!AX40</f>
        <v>33586.892352000003</v>
      </c>
      <c r="O93" s="100">
        <f>SUM(C93:N93)</f>
        <v>403042.708224</v>
      </c>
      <c r="P93" s="65"/>
    </row>
    <row r="94" spans="1:16" ht="12.75" customHeight="1" x14ac:dyDescent="0.2">
      <c r="A94" s="35"/>
      <c r="B94" s="82" t="s">
        <v>161</v>
      </c>
      <c r="C94" s="15">
        <f>'CA Visiophonie'!BH19</f>
        <v>29640</v>
      </c>
      <c r="D94" s="15">
        <f>'CA Visiophonie'!BJ19</f>
        <v>29640</v>
      </c>
      <c r="E94" s="15">
        <f>'CA Visiophonie'!BL19</f>
        <v>29640</v>
      </c>
      <c r="F94" s="15">
        <f>'CA Visiophonie'!BN19</f>
        <v>29640</v>
      </c>
      <c r="G94" s="15">
        <f>'CA Visiophonie'!BP19</f>
        <v>29640</v>
      </c>
      <c r="H94" s="15">
        <f>'CA Visiophonie'!BR19</f>
        <v>29640</v>
      </c>
      <c r="I94" s="15">
        <f>'CA Visiophonie'!BT19</f>
        <v>29640</v>
      </c>
      <c r="J94" s="15">
        <f>'CA Visiophonie'!BV19</f>
        <v>29640</v>
      </c>
      <c r="K94" s="15">
        <f>'CA Visiophonie'!BX19</f>
        <v>29640</v>
      </c>
      <c r="L94" s="15">
        <f>'CA Visiophonie'!BZ19</f>
        <v>29640</v>
      </c>
      <c r="M94" s="15">
        <f>'CA Visiophonie'!CB19</f>
        <v>29640</v>
      </c>
      <c r="N94" s="15">
        <f>'CA Visiophonie'!CD19</f>
        <v>29640</v>
      </c>
      <c r="O94" s="100">
        <f>SUM(C94:N94)</f>
        <v>355680</v>
      </c>
      <c r="P94" s="65"/>
    </row>
    <row r="95" spans="1:16" ht="12.75" customHeight="1" x14ac:dyDescent="0.2">
      <c r="A95" s="35"/>
      <c r="B95" s="76" t="s">
        <v>162</v>
      </c>
      <c r="C95" s="77">
        <f t="shared" ref="C95:O95" si="30">SUM(C92:C94)</f>
        <v>159556.892352</v>
      </c>
      <c r="D95" s="77">
        <f t="shared" si="30"/>
        <v>159556.892352</v>
      </c>
      <c r="E95" s="77">
        <f t="shared" si="30"/>
        <v>159556.892352</v>
      </c>
      <c r="F95" s="77">
        <f t="shared" si="30"/>
        <v>159556.892352</v>
      </c>
      <c r="G95" s="77">
        <f t="shared" si="30"/>
        <v>159556.892352</v>
      </c>
      <c r="H95" s="77">
        <f t="shared" si="30"/>
        <v>159556.892352</v>
      </c>
      <c r="I95" s="77">
        <f t="shared" si="30"/>
        <v>159556.892352</v>
      </c>
      <c r="J95" s="77">
        <f t="shared" si="30"/>
        <v>159556.892352</v>
      </c>
      <c r="K95" s="77">
        <f t="shared" si="30"/>
        <v>159556.892352</v>
      </c>
      <c r="L95" s="77">
        <f t="shared" si="30"/>
        <v>159556.892352</v>
      </c>
      <c r="M95" s="77">
        <f t="shared" si="30"/>
        <v>159556.892352</v>
      </c>
      <c r="N95" s="77">
        <f t="shared" si="30"/>
        <v>159556.892352</v>
      </c>
      <c r="O95" s="77">
        <f t="shared" si="30"/>
        <v>1914682.7082239999</v>
      </c>
      <c r="P95" s="65"/>
    </row>
    <row r="96" spans="1:16" ht="12.75" customHeight="1" x14ac:dyDescent="0.2">
      <c r="A96" s="35"/>
      <c r="B96" s="82" t="s">
        <v>124</v>
      </c>
      <c r="C96" s="15">
        <f>'CHIFFRE D''AFFAIRE B2B'!AG14</f>
        <v>0</v>
      </c>
      <c r="D96" s="15">
        <f>'CHIFFRE D''AFFAIRE B2B'!AH14</f>
        <v>0</v>
      </c>
      <c r="E96" s="15">
        <f>'CHIFFRE D''AFFAIRE B2B'!AI14</f>
        <v>16986.239999999998</v>
      </c>
      <c r="F96" s="15">
        <f>'CHIFFRE D''AFFAIRE B2B'!AJ14</f>
        <v>0</v>
      </c>
      <c r="G96" s="15">
        <f>'CHIFFRE D''AFFAIRE B2B'!AK14</f>
        <v>0</v>
      </c>
      <c r="H96" s="15">
        <f>'CHIFFRE D''AFFAIRE B2B'!AL14</f>
        <v>16986.239999999998</v>
      </c>
      <c r="I96" s="15">
        <f>'CHIFFRE D''AFFAIRE B2B'!AM14</f>
        <v>0</v>
      </c>
      <c r="J96" s="15">
        <f>'CHIFFRE D''AFFAIRE B2B'!AN14</f>
        <v>0</v>
      </c>
      <c r="K96" s="15">
        <f>'CHIFFRE D''AFFAIRE B2B'!AO14</f>
        <v>16986.239999999998</v>
      </c>
      <c r="L96" s="15">
        <f>'CHIFFRE D''AFFAIRE B2B'!AP14</f>
        <v>0</v>
      </c>
      <c r="M96" s="15">
        <f>'CHIFFRE D''AFFAIRE B2B'!AQ14</f>
        <v>0</v>
      </c>
      <c r="N96" s="15">
        <f>'CHIFFRE D''AFFAIRE B2B'!AR14</f>
        <v>16986.239999999998</v>
      </c>
      <c r="O96" s="100">
        <f>SUM(C96:N96)</f>
        <v>67944.959999999992</v>
      </c>
      <c r="P96" s="65"/>
    </row>
    <row r="97" spans="1:17" ht="12.75" customHeight="1" x14ac:dyDescent="0.2">
      <c r="A97" s="35"/>
      <c r="B97" s="82" t="s">
        <v>125</v>
      </c>
      <c r="C97" s="15">
        <f>'CA - Visiophonie - B2B'!AF18</f>
        <v>4322.5</v>
      </c>
      <c r="D97" s="15">
        <f>'CA - Visiophonie - B2B'!AG18</f>
        <v>4322.5</v>
      </c>
      <c r="E97" s="15">
        <f>'CA - Visiophonie - B2B'!AH18</f>
        <v>4322.5</v>
      </c>
      <c r="F97" s="15">
        <f>'CA - Visiophonie - B2B'!AI18</f>
        <v>4322.5</v>
      </c>
      <c r="G97" s="15">
        <f>'CA - Visiophonie - B2B'!AJ18</f>
        <v>4322.5</v>
      </c>
      <c r="H97" s="15">
        <f>'CA - Visiophonie - B2B'!AK18</f>
        <v>4322.5</v>
      </c>
      <c r="I97" s="15">
        <f>'CA - Visiophonie - B2B'!AL18</f>
        <v>4322.5</v>
      </c>
      <c r="J97" s="15">
        <f>'CA - Visiophonie - B2B'!AM18</f>
        <v>4322.5</v>
      </c>
      <c r="K97" s="15">
        <f>'CA - Visiophonie - B2B'!AN18</f>
        <v>4322.5</v>
      </c>
      <c r="L97" s="15">
        <f>'CA - Visiophonie - B2B'!AO18</f>
        <v>4322.5</v>
      </c>
      <c r="M97" s="15">
        <f>'CA - Visiophonie - B2B'!AP18</f>
        <v>4322.5</v>
      </c>
      <c r="N97" s="15">
        <f>'CA - Visiophonie - B2B'!AQ18</f>
        <v>4322.5</v>
      </c>
      <c r="O97" s="109">
        <f>SUM(C97:N97)</f>
        <v>51870</v>
      </c>
      <c r="P97" s="65"/>
    </row>
    <row r="98" spans="1:17" ht="12.75" customHeight="1" x14ac:dyDescent="0.2">
      <c r="A98" s="35"/>
      <c r="B98" s="76" t="s">
        <v>163</v>
      </c>
      <c r="C98" s="77">
        <f t="shared" ref="C98:O98" si="31">SUM(C96:C97)</f>
        <v>4322.5</v>
      </c>
      <c r="D98" s="77">
        <f t="shared" si="31"/>
        <v>4322.5</v>
      </c>
      <c r="E98" s="77">
        <f t="shared" si="31"/>
        <v>21308.739999999998</v>
      </c>
      <c r="F98" s="77">
        <f t="shared" si="31"/>
        <v>4322.5</v>
      </c>
      <c r="G98" s="77">
        <f t="shared" si="31"/>
        <v>4322.5</v>
      </c>
      <c r="H98" s="77">
        <f t="shared" si="31"/>
        <v>21308.739999999998</v>
      </c>
      <c r="I98" s="77">
        <f t="shared" si="31"/>
        <v>4322.5</v>
      </c>
      <c r="J98" s="77">
        <f t="shared" si="31"/>
        <v>4322.5</v>
      </c>
      <c r="K98" s="77">
        <f t="shared" si="31"/>
        <v>21308.739999999998</v>
      </c>
      <c r="L98" s="77">
        <f t="shared" si="31"/>
        <v>4322.5</v>
      </c>
      <c r="M98" s="77">
        <f t="shared" si="31"/>
        <v>4322.5</v>
      </c>
      <c r="N98" s="77">
        <f t="shared" si="31"/>
        <v>21308.739999999998</v>
      </c>
      <c r="O98" s="77">
        <f t="shared" si="31"/>
        <v>119814.95999999999</v>
      </c>
      <c r="P98" s="65"/>
    </row>
    <row r="99" spans="1:17" s="35" customFormat="1" ht="28" x14ac:dyDescent="0.2">
      <c r="B99" s="98" t="s">
        <v>198</v>
      </c>
      <c r="C99" s="57"/>
      <c r="D99" s="14"/>
      <c r="E99" s="14"/>
      <c r="F99" s="14"/>
      <c r="G99" s="14"/>
      <c r="H99" s="3">
        <v>300000</v>
      </c>
      <c r="I99" s="14"/>
      <c r="J99" s="14"/>
      <c r="K99" s="14"/>
      <c r="L99" s="14"/>
      <c r="M99" s="14"/>
      <c r="N99" s="14"/>
      <c r="O99" s="48"/>
      <c r="P99" s="65"/>
    </row>
    <row r="100" spans="1:17" s="35" customFormat="1" ht="24.75" customHeight="1" x14ac:dyDescent="0.2">
      <c r="B100" s="76" t="s">
        <v>199</v>
      </c>
      <c r="C100" s="78">
        <f t="shared" ref="C100:N100" si="32">SUM(C99)</f>
        <v>0</v>
      </c>
      <c r="D100" s="78">
        <f t="shared" si="32"/>
        <v>0</v>
      </c>
      <c r="E100" s="78">
        <f t="shared" si="32"/>
        <v>0</v>
      </c>
      <c r="F100" s="78">
        <f t="shared" si="32"/>
        <v>0</v>
      </c>
      <c r="G100" s="78">
        <f t="shared" si="32"/>
        <v>0</v>
      </c>
      <c r="H100" s="78">
        <f t="shared" si="32"/>
        <v>300000</v>
      </c>
      <c r="I100" s="78">
        <f t="shared" si="32"/>
        <v>0</v>
      </c>
      <c r="J100" s="78">
        <f t="shared" si="32"/>
        <v>0</v>
      </c>
      <c r="K100" s="78">
        <f t="shared" si="32"/>
        <v>0</v>
      </c>
      <c r="L100" s="78">
        <f t="shared" si="32"/>
        <v>0</v>
      </c>
      <c r="M100" s="78">
        <f t="shared" si="32"/>
        <v>0</v>
      </c>
      <c r="N100" s="78">
        <f t="shared" si="32"/>
        <v>0</v>
      </c>
      <c r="O100" s="78">
        <f>SUM(C100:N100)</f>
        <v>300000</v>
      </c>
      <c r="P100" s="65"/>
    </row>
    <row r="101" spans="1:17" x14ac:dyDescent="0.2">
      <c r="A101" s="35"/>
      <c r="B101" s="76" t="s">
        <v>164</v>
      </c>
      <c r="C101" s="110">
        <f t="shared" ref="C101:N101" si="33">SUM(C100,C98,C95)</f>
        <v>163879.392352</v>
      </c>
      <c r="D101" s="110">
        <f t="shared" si="33"/>
        <v>163879.392352</v>
      </c>
      <c r="E101" s="110">
        <f t="shared" si="33"/>
        <v>180865.63235199999</v>
      </c>
      <c r="F101" s="110">
        <f t="shared" si="33"/>
        <v>163879.392352</v>
      </c>
      <c r="G101" s="110">
        <f t="shared" si="33"/>
        <v>163879.392352</v>
      </c>
      <c r="H101" s="110">
        <f t="shared" si="33"/>
        <v>480865.63235199999</v>
      </c>
      <c r="I101" s="110">
        <f t="shared" si="33"/>
        <v>163879.392352</v>
      </c>
      <c r="J101" s="110">
        <f t="shared" si="33"/>
        <v>163879.392352</v>
      </c>
      <c r="K101" s="110">
        <f t="shared" si="33"/>
        <v>180865.63235199999</v>
      </c>
      <c r="L101" s="110">
        <f t="shared" si="33"/>
        <v>163879.392352</v>
      </c>
      <c r="M101" s="110">
        <f t="shared" si="33"/>
        <v>163879.392352</v>
      </c>
      <c r="N101" s="110">
        <f t="shared" si="33"/>
        <v>180865.63235199999</v>
      </c>
      <c r="O101" s="100">
        <f>SUM(C101:N101)</f>
        <v>2334497.6682239999</v>
      </c>
      <c r="P101" s="65"/>
    </row>
    <row r="102" spans="1:17" s="35" customFormat="1" x14ac:dyDescent="0.2">
      <c r="B102" s="70" t="s">
        <v>189</v>
      </c>
      <c r="C102" s="110"/>
      <c r="D102" s="110"/>
      <c r="E102" s="110"/>
      <c r="F102" s="110"/>
      <c r="G102" s="110"/>
      <c r="H102" s="110"/>
      <c r="I102" s="110"/>
      <c r="J102" s="110"/>
      <c r="K102" s="110"/>
      <c r="L102" s="110"/>
      <c r="M102" s="110"/>
      <c r="N102" s="110"/>
      <c r="O102" s="40"/>
      <c r="P102" s="65"/>
    </row>
    <row r="103" spans="1:17" s="35" customFormat="1" ht="12.75" customHeight="1" x14ac:dyDescent="0.2">
      <c r="B103" s="82" t="s">
        <v>200</v>
      </c>
      <c r="C103" s="42">
        <v>200</v>
      </c>
      <c r="D103" s="42">
        <f t="shared" ref="D103:N103" si="34">+C103</f>
        <v>200</v>
      </c>
      <c r="E103" s="42">
        <f t="shared" si="34"/>
        <v>200</v>
      </c>
      <c r="F103" s="42">
        <f t="shared" si="34"/>
        <v>200</v>
      </c>
      <c r="G103" s="42">
        <f t="shared" si="34"/>
        <v>200</v>
      </c>
      <c r="H103" s="42">
        <f t="shared" si="34"/>
        <v>200</v>
      </c>
      <c r="I103" s="42">
        <f t="shared" si="34"/>
        <v>200</v>
      </c>
      <c r="J103" s="42">
        <f t="shared" si="34"/>
        <v>200</v>
      </c>
      <c r="K103" s="42">
        <f t="shared" si="34"/>
        <v>200</v>
      </c>
      <c r="L103" s="42">
        <f t="shared" si="34"/>
        <v>200</v>
      </c>
      <c r="M103" s="42">
        <f t="shared" si="34"/>
        <v>200</v>
      </c>
      <c r="N103" s="42">
        <f t="shared" si="34"/>
        <v>200</v>
      </c>
      <c r="O103" s="81">
        <f>SUM(C103:N103)</f>
        <v>2400</v>
      </c>
      <c r="P103" s="65">
        <v>0.18</v>
      </c>
      <c r="Q103" s="35">
        <f>+O103*P103</f>
        <v>432</v>
      </c>
    </row>
    <row r="104" spans="1:17" s="35" customFormat="1" ht="12.75" customHeight="1" x14ac:dyDescent="0.2">
      <c r="B104" s="67" t="s">
        <v>168</v>
      </c>
      <c r="C104" s="42">
        <f>+C58</f>
        <v>700</v>
      </c>
      <c r="D104" s="42">
        <f t="shared" ref="D104:N104" si="35">+C104</f>
        <v>700</v>
      </c>
      <c r="E104" s="42">
        <f t="shared" si="35"/>
        <v>700</v>
      </c>
      <c r="F104" s="42">
        <f t="shared" si="35"/>
        <v>700</v>
      </c>
      <c r="G104" s="42">
        <f t="shared" si="35"/>
        <v>700</v>
      </c>
      <c r="H104" s="42">
        <f t="shared" si="35"/>
        <v>700</v>
      </c>
      <c r="I104" s="42">
        <f t="shared" si="35"/>
        <v>700</v>
      </c>
      <c r="J104" s="42">
        <f t="shared" si="35"/>
        <v>700</v>
      </c>
      <c r="K104" s="42">
        <f t="shared" si="35"/>
        <v>700</v>
      </c>
      <c r="L104" s="42">
        <f t="shared" si="35"/>
        <v>700</v>
      </c>
      <c r="M104" s="42">
        <f t="shared" si="35"/>
        <v>700</v>
      </c>
      <c r="N104" s="42">
        <f t="shared" si="35"/>
        <v>700</v>
      </c>
      <c r="O104" s="81">
        <f>SUM(C104:N104)</f>
        <v>8400</v>
      </c>
      <c r="P104" s="65">
        <v>0.12</v>
      </c>
      <c r="Q104" s="35">
        <f>+O104*P104</f>
        <v>1008</v>
      </c>
    </row>
    <row r="105" spans="1:17" s="35" customFormat="1" ht="12.75" customHeight="1" x14ac:dyDescent="0.2">
      <c r="B105" s="67" t="s">
        <v>167</v>
      </c>
      <c r="C105" s="42">
        <f>+C59</f>
        <v>500</v>
      </c>
      <c r="D105" s="42">
        <f t="shared" ref="D105:N105" si="36">+C105</f>
        <v>500</v>
      </c>
      <c r="E105" s="42">
        <f t="shared" si="36"/>
        <v>500</v>
      </c>
      <c r="F105" s="42">
        <f t="shared" si="36"/>
        <v>500</v>
      </c>
      <c r="G105" s="42">
        <f t="shared" si="36"/>
        <v>500</v>
      </c>
      <c r="H105" s="42">
        <f t="shared" si="36"/>
        <v>500</v>
      </c>
      <c r="I105" s="42">
        <f t="shared" si="36"/>
        <v>500</v>
      </c>
      <c r="J105" s="42">
        <f t="shared" si="36"/>
        <v>500</v>
      </c>
      <c r="K105" s="42">
        <f t="shared" si="36"/>
        <v>500</v>
      </c>
      <c r="L105" s="42">
        <f t="shared" si="36"/>
        <v>500</v>
      </c>
      <c r="M105" s="42">
        <f t="shared" si="36"/>
        <v>500</v>
      </c>
      <c r="N105" s="42">
        <f t="shared" si="36"/>
        <v>500</v>
      </c>
      <c r="O105" s="81">
        <f>SUM(C105:N105)</f>
        <v>6000</v>
      </c>
      <c r="P105" s="65">
        <v>0.12</v>
      </c>
      <c r="Q105" s="35">
        <f>+O105*P105</f>
        <v>720</v>
      </c>
    </row>
    <row r="106" spans="1:17" ht="12.75" customHeight="1" x14ac:dyDescent="0.2">
      <c r="A106" s="35"/>
      <c r="B106" s="76" t="s">
        <v>169</v>
      </c>
      <c r="C106" s="78">
        <f t="shared" ref="C106:O106" si="37">SUM(C103:C105)</f>
        <v>1400</v>
      </c>
      <c r="D106" s="78">
        <f t="shared" si="37"/>
        <v>1400</v>
      </c>
      <c r="E106" s="78">
        <f t="shared" si="37"/>
        <v>1400</v>
      </c>
      <c r="F106" s="78">
        <f t="shared" si="37"/>
        <v>1400</v>
      </c>
      <c r="G106" s="78">
        <f t="shared" si="37"/>
        <v>1400</v>
      </c>
      <c r="H106" s="78">
        <f t="shared" si="37"/>
        <v>1400</v>
      </c>
      <c r="I106" s="78">
        <f t="shared" si="37"/>
        <v>1400</v>
      </c>
      <c r="J106" s="78">
        <f t="shared" si="37"/>
        <v>1400</v>
      </c>
      <c r="K106" s="78">
        <f t="shared" si="37"/>
        <v>1400</v>
      </c>
      <c r="L106" s="78">
        <f t="shared" si="37"/>
        <v>1400</v>
      </c>
      <c r="M106" s="78">
        <f t="shared" si="37"/>
        <v>1400</v>
      </c>
      <c r="N106" s="78">
        <f t="shared" si="37"/>
        <v>1400</v>
      </c>
      <c r="O106" s="78">
        <f t="shared" si="37"/>
        <v>16800</v>
      </c>
      <c r="P106" s="78"/>
      <c r="Q106" s="78">
        <f>SUM(Q103:Q105)</f>
        <v>2160</v>
      </c>
    </row>
    <row r="107" spans="1:17" ht="12.75" customHeight="1" x14ac:dyDescent="0.2">
      <c r="A107" s="35"/>
      <c r="B107" s="82" t="s">
        <v>170</v>
      </c>
      <c r="C107" s="40">
        <f t="shared" ref="C107:N107" si="38">$O$107/12</f>
        <v>625.625</v>
      </c>
      <c r="D107" s="40">
        <f t="shared" si="38"/>
        <v>625.625</v>
      </c>
      <c r="E107" s="40">
        <f t="shared" si="38"/>
        <v>625.625</v>
      </c>
      <c r="F107" s="40">
        <f t="shared" si="38"/>
        <v>625.625</v>
      </c>
      <c r="G107" s="40">
        <f t="shared" si="38"/>
        <v>625.625</v>
      </c>
      <c r="H107" s="40">
        <f t="shared" si="38"/>
        <v>625.625</v>
      </c>
      <c r="I107" s="40">
        <f t="shared" si="38"/>
        <v>625.625</v>
      </c>
      <c r="J107" s="40">
        <f t="shared" si="38"/>
        <v>625.625</v>
      </c>
      <c r="K107" s="40">
        <f t="shared" si="38"/>
        <v>625.625</v>
      </c>
      <c r="L107" s="40">
        <f t="shared" si="38"/>
        <v>625.625</v>
      </c>
      <c r="M107" s="40">
        <f t="shared" si="38"/>
        <v>625.625</v>
      </c>
      <c r="N107" s="40">
        <f t="shared" si="38"/>
        <v>625.625</v>
      </c>
      <c r="O107" s="40">
        <f>'Frais IBM WATSON'!AK16</f>
        <v>7507.5</v>
      </c>
      <c r="P107" s="87"/>
      <c r="Q107" s="87"/>
    </row>
    <row r="108" spans="1:17" ht="28" x14ac:dyDescent="0.2">
      <c r="A108" s="35"/>
      <c r="B108" s="82" t="s">
        <v>171</v>
      </c>
      <c r="C108" s="40">
        <f t="shared" ref="C108:N108" si="39">$O$108/12</f>
        <v>943.68</v>
      </c>
      <c r="D108" s="40">
        <f t="shared" si="39"/>
        <v>943.68</v>
      </c>
      <c r="E108" s="40">
        <f t="shared" si="39"/>
        <v>943.68</v>
      </c>
      <c r="F108" s="40">
        <f t="shared" si="39"/>
        <v>943.68</v>
      </c>
      <c r="G108" s="40">
        <f t="shared" si="39"/>
        <v>943.68</v>
      </c>
      <c r="H108" s="40">
        <f t="shared" si="39"/>
        <v>943.68</v>
      </c>
      <c r="I108" s="40">
        <f t="shared" si="39"/>
        <v>943.68</v>
      </c>
      <c r="J108" s="40">
        <f t="shared" si="39"/>
        <v>943.68</v>
      </c>
      <c r="K108" s="40">
        <f t="shared" si="39"/>
        <v>943.68</v>
      </c>
      <c r="L108" s="40">
        <f t="shared" si="39"/>
        <v>943.68</v>
      </c>
      <c r="M108" s="40">
        <f t="shared" si="39"/>
        <v>943.68</v>
      </c>
      <c r="N108" s="40">
        <f t="shared" si="39"/>
        <v>943.68</v>
      </c>
      <c r="O108" s="40">
        <f>'Frais Readspeaker'!C5</f>
        <v>11324.16</v>
      </c>
      <c r="P108" s="87"/>
      <c r="Q108" s="87"/>
    </row>
    <row r="109" spans="1:17" x14ac:dyDescent="0.2">
      <c r="A109" s="35"/>
      <c r="B109" s="82" t="s">
        <v>172</v>
      </c>
      <c r="C109" s="40"/>
      <c r="D109" s="40"/>
      <c r="E109" s="40">
        <f>'Frais Readspeaker'!C5</f>
        <v>11324.16</v>
      </c>
      <c r="F109" s="40"/>
      <c r="G109" s="40"/>
      <c r="H109" s="40">
        <f>'Frais Readspeaker'!C5</f>
        <v>11324.16</v>
      </c>
      <c r="I109" s="40"/>
      <c r="J109" s="40"/>
      <c r="K109" s="40">
        <f>'Frais Readspeaker'!C5</f>
        <v>11324.16</v>
      </c>
      <c r="L109" s="40"/>
      <c r="M109" s="40"/>
      <c r="N109" s="40">
        <f>'Frais Readspeaker'!C5</f>
        <v>11324.16</v>
      </c>
      <c r="O109" s="40">
        <f>SUM(C109:N109)</f>
        <v>45296.639999999999</v>
      </c>
      <c r="P109" s="87"/>
      <c r="Q109" s="87"/>
    </row>
    <row r="110" spans="1:17" ht="26.25" customHeight="1" x14ac:dyDescent="0.2">
      <c r="A110" s="35"/>
      <c r="B110" s="82" t="s">
        <v>173</v>
      </c>
      <c r="C110" s="39">
        <f t="shared" ref="C110:N110" si="40">C21*1.1</f>
        <v>440.00000000000006</v>
      </c>
      <c r="D110" s="39">
        <f t="shared" si="40"/>
        <v>440.00000000000006</v>
      </c>
      <c r="E110" s="39">
        <f t="shared" si="40"/>
        <v>440.00000000000006</v>
      </c>
      <c r="F110" s="39">
        <f t="shared" si="40"/>
        <v>440.00000000000006</v>
      </c>
      <c r="G110" s="39">
        <f t="shared" si="40"/>
        <v>440.00000000000006</v>
      </c>
      <c r="H110" s="39">
        <f t="shared" si="40"/>
        <v>440.00000000000006</v>
      </c>
      <c r="I110" s="39">
        <f t="shared" si="40"/>
        <v>440.00000000000006</v>
      </c>
      <c r="J110" s="39">
        <f t="shared" si="40"/>
        <v>440.00000000000006</v>
      </c>
      <c r="K110" s="39">
        <f t="shared" si="40"/>
        <v>440.00000000000006</v>
      </c>
      <c r="L110" s="39">
        <f t="shared" si="40"/>
        <v>440.00000000000006</v>
      </c>
      <c r="M110" s="39">
        <f t="shared" si="40"/>
        <v>440.00000000000006</v>
      </c>
      <c r="N110" s="39">
        <f t="shared" si="40"/>
        <v>440.00000000000006</v>
      </c>
      <c r="O110" s="39">
        <f>SUM(C110:N110)</f>
        <v>5280.0000000000009</v>
      </c>
      <c r="P110" s="87"/>
      <c r="Q110" s="87"/>
    </row>
    <row r="111" spans="1:17" ht="27" customHeight="1" x14ac:dyDescent="0.2">
      <c r="A111" s="35"/>
      <c r="B111" s="82" t="s">
        <v>201</v>
      </c>
      <c r="C111" s="39">
        <f t="shared" ref="C111:N111" si="41">$O$111/12</f>
        <v>6250</v>
      </c>
      <c r="D111" s="39">
        <f t="shared" si="41"/>
        <v>6250</v>
      </c>
      <c r="E111" s="39">
        <f t="shared" si="41"/>
        <v>6250</v>
      </c>
      <c r="F111" s="39">
        <f t="shared" si="41"/>
        <v>6250</v>
      </c>
      <c r="G111" s="39">
        <f t="shared" si="41"/>
        <v>6250</v>
      </c>
      <c r="H111" s="39">
        <f t="shared" si="41"/>
        <v>6250</v>
      </c>
      <c r="I111" s="39">
        <f t="shared" si="41"/>
        <v>6250</v>
      </c>
      <c r="J111" s="39">
        <f t="shared" si="41"/>
        <v>6250</v>
      </c>
      <c r="K111" s="39">
        <f t="shared" si="41"/>
        <v>6250</v>
      </c>
      <c r="L111" s="39">
        <f t="shared" si="41"/>
        <v>6250</v>
      </c>
      <c r="M111" s="39">
        <f t="shared" si="41"/>
        <v>6250</v>
      </c>
      <c r="N111" s="39">
        <f t="shared" si="41"/>
        <v>6250</v>
      </c>
      <c r="O111" s="39">
        <f>'Invest-Amort et TVA'!D6*0.15</f>
        <v>75000</v>
      </c>
      <c r="P111" s="87"/>
      <c r="Q111" s="87"/>
    </row>
    <row r="112" spans="1:17" s="35" customFormat="1" ht="12.75" customHeight="1" x14ac:dyDescent="0.2">
      <c r="B112" s="82" t="s">
        <v>174</v>
      </c>
      <c r="C112" s="42">
        <v>150</v>
      </c>
      <c r="D112" s="42">
        <v>150</v>
      </c>
      <c r="E112" s="42">
        <v>150</v>
      </c>
      <c r="F112" s="42">
        <v>150</v>
      </c>
      <c r="G112" s="42">
        <v>150</v>
      </c>
      <c r="H112" s="42">
        <v>150</v>
      </c>
      <c r="I112" s="42">
        <v>150</v>
      </c>
      <c r="J112" s="42">
        <v>150</v>
      </c>
      <c r="K112" s="42">
        <v>150</v>
      </c>
      <c r="L112" s="42">
        <v>150</v>
      </c>
      <c r="M112" s="42">
        <v>150</v>
      </c>
      <c r="N112" s="42">
        <v>150</v>
      </c>
      <c r="O112" s="81">
        <f t="shared" ref="O112:O119" si="42">SUM(C112:N112)</f>
        <v>1800</v>
      </c>
      <c r="P112" s="34"/>
      <c r="Q112" s="34"/>
    </row>
    <row r="113" spans="1:17" s="35" customFormat="1" ht="12.75" customHeight="1" x14ac:dyDescent="0.2">
      <c r="B113" s="82" t="s">
        <v>202</v>
      </c>
      <c r="C113" s="42">
        <v>100</v>
      </c>
      <c r="D113" s="42">
        <v>100</v>
      </c>
      <c r="E113" s="42">
        <v>100</v>
      </c>
      <c r="F113" s="42">
        <v>100</v>
      </c>
      <c r="G113" s="42">
        <v>100</v>
      </c>
      <c r="H113" s="42">
        <v>100</v>
      </c>
      <c r="I113" s="42">
        <v>100</v>
      </c>
      <c r="J113" s="42">
        <v>100</v>
      </c>
      <c r="K113" s="42">
        <v>100</v>
      </c>
      <c r="L113" s="42">
        <v>100</v>
      </c>
      <c r="M113" s="42">
        <v>100</v>
      </c>
      <c r="N113" s="42">
        <v>100</v>
      </c>
      <c r="O113" s="81">
        <f t="shared" si="42"/>
        <v>1200</v>
      </c>
      <c r="P113" s="34"/>
      <c r="Q113" s="34"/>
    </row>
    <row r="114" spans="1:17" s="35" customFormat="1" ht="12.75" customHeight="1" x14ac:dyDescent="0.2">
      <c r="B114" s="82" t="s">
        <v>203</v>
      </c>
      <c r="C114" s="42">
        <f>+N67</f>
        <v>4200</v>
      </c>
      <c r="D114" s="14">
        <f t="shared" ref="D114:N114" si="43">C114</f>
        <v>4200</v>
      </c>
      <c r="E114" s="14">
        <f t="shared" si="43"/>
        <v>4200</v>
      </c>
      <c r="F114" s="14">
        <f t="shared" si="43"/>
        <v>4200</v>
      </c>
      <c r="G114" s="14">
        <f t="shared" si="43"/>
        <v>4200</v>
      </c>
      <c r="H114" s="14">
        <f t="shared" si="43"/>
        <v>4200</v>
      </c>
      <c r="I114" s="14">
        <f t="shared" si="43"/>
        <v>4200</v>
      </c>
      <c r="J114" s="14">
        <f t="shared" si="43"/>
        <v>4200</v>
      </c>
      <c r="K114" s="14">
        <f t="shared" si="43"/>
        <v>4200</v>
      </c>
      <c r="L114" s="14">
        <f t="shared" si="43"/>
        <v>4200</v>
      </c>
      <c r="M114" s="14">
        <f t="shared" si="43"/>
        <v>4200</v>
      </c>
      <c r="N114" s="14">
        <f t="shared" si="43"/>
        <v>4200</v>
      </c>
      <c r="O114" s="81">
        <f t="shared" si="42"/>
        <v>50400</v>
      </c>
      <c r="P114" s="65">
        <v>0.12</v>
      </c>
      <c r="Q114" s="35">
        <f>+O114*P114</f>
        <v>6048</v>
      </c>
    </row>
    <row r="115" spans="1:17" ht="12.75" customHeight="1" x14ac:dyDescent="0.2">
      <c r="A115" s="35"/>
      <c r="B115" s="82" t="s">
        <v>204</v>
      </c>
      <c r="C115" s="14">
        <f>+N68</f>
        <v>300</v>
      </c>
      <c r="D115" s="14">
        <f t="shared" ref="D115:N115" si="44">+C115</f>
        <v>300</v>
      </c>
      <c r="E115" s="14">
        <f t="shared" si="44"/>
        <v>300</v>
      </c>
      <c r="F115" s="14">
        <f t="shared" si="44"/>
        <v>300</v>
      </c>
      <c r="G115" s="14">
        <f t="shared" si="44"/>
        <v>300</v>
      </c>
      <c r="H115" s="14">
        <f t="shared" si="44"/>
        <v>300</v>
      </c>
      <c r="I115" s="14">
        <f t="shared" si="44"/>
        <v>300</v>
      </c>
      <c r="J115" s="14">
        <f t="shared" si="44"/>
        <v>300</v>
      </c>
      <c r="K115" s="14">
        <f t="shared" si="44"/>
        <v>300</v>
      </c>
      <c r="L115" s="14">
        <f t="shared" si="44"/>
        <v>300</v>
      </c>
      <c r="M115" s="14">
        <f t="shared" si="44"/>
        <v>300</v>
      </c>
      <c r="N115" s="14">
        <f t="shared" si="44"/>
        <v>300</v>
      </c>
      <c r="O115" s="81">
        <f t="shared" si="42"/>
        <v>3600</v>
      </c>
      <c r="P115" s="65">
        <v>0.12</v>
      </c>
      <c r="Q115" s="35">
        <f>+O115*P115</f>
        <v>432</v>
      </c>
    </row>
    <row r="116" spans="1:17" ht="12.75" customHeight="1" x14ac:dyDescent="0.2">
      <c r="A116" s="35"/>
      <c r="B116" s="67" t="s">
        <v>178</v>
      </c>
      <c r="C116" s="14">
        <v>900</v>
      </c>
      <c r="D116" s="14">
        <f t="shared" ref="D116:N116" si="45">+C116</f>
        <v>900</v>
      </c>
      <c r="E116" s="14">
        <f t="shared" si="45"/>
        <v>900</v>
      </c>
      <c r="F116" s="14">
        <f t="shared" si="45"/>
        <v>900</v>
      </c>
      <c r="G116" s="14">
        <f t="shared" si="45"/>
        <v>900</v>
      </c>
      <c r="H116" s="14">
        <f t="shared" si="45"/>
        <v>900</v>
      </c>
      <c r="I116" s="14">
        <f t="shared" si="45"/>
        <v>900</v>
      </c>
      <c r="J116" s="14">
        <f t="shared" si="45"/>
        <v>900</v>
      </c>
      <c r="K116" s="14">
        <f t="shared" si="45"/>
        <v>900</v>
      </c>
      <c r="L116" s="14">
        <f t="shared" si="45"/>
        <v>900</v>
      </c>
      <c r="M116" s="14">
        <f t="shared" si="45"/>
        <v>900</v>
      </c>
      <c r="N116" s="14">
        <f t="shared" si="45"/>
        <v>900</v>
      </c>
      <c r="O116" s="81">
        <f t="shared" si="42"/>
        <v>10800</v>
      </c>
      <c r="P116" s="65">
        <v>0.18</v>
      </c>
      <c r="Q116" s="35">
        <f>+O116*P116</f>
        <v>1944</v>
      </c>
    </row>
    <row r="117" spans="1:17" ht="12.75" customHeight="1" x14ac:dyDescent="0.2">
      <c r="A117" s="35"/>
      <c r="B117" s="82" t="s">
        <v>193</v>
      </c>
      <c r="C117" s="14">
        <v>1000</v>
      </c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81">
        <f t="shared" si="42"/>
        <v>1000</v>
      </c>
      <c r="P117" s="65">
        <v>0.18</v>
      </c>
      <c r="Q117" s="35">
        <f>+O117*P117</f>
        <v>180</v>
      </c>
    </row>
    <row r="118" spans="1:17" ht="12.75" customHeight="1" x14ac:dyDescent="0.2">
      <c r="A118" s="35"/>
      <c r="B118" s="82" t="s">
        <v>205</v>
      </c>
      <c r="C118" s="14"/>
      <c r="D118" s="14"/>
      <c r="E118" s="14">
        <f>'Plan de communication'!J16</f>
        <v>3550</v>
      </c>
      <c r="F118" s="14"/>
      <c r="G118" s="14"/>
      <c r="H118" s="14">
        <f>'Plan de communication'!K16</f>
        <v>5350</v>
      </c>
      <c r="I118" s="14"/>
      <c r="J118" s="14"/>
      <c r="K118" s="14">
        <f>'Plan de communication'!L16</f>
        <v>3550</v>
      </c>
      <c r="L118" s="14"/>
      <c r="M118" s="14"/>
      <c r="N118" s="14">
        <f>'Plan de communication'!Q16</f>
        <v>8550</v>
      </c>
      <c r="O118" s="81">
        <f t="shared" si="42"/>
        <v>21000</v>
      </c>
      <c r="P118" s="65">
        <v>0.12</v>
      </c>
      <c r="Q118" s="35">
        <f>+O118*P118</f>
        <v>2520</v>
      </c>
    </row>
    <row r="119" spans="1:17" ht="24.75" customHeight="1" x14ac:dyDescent="0.2">
      <c r="A119" s="35"/>
      <c r="B119" s="82" t="s">
        <v>206</v>
      </c>
      <c r="C119" s="14"/>
      <c r="D119" s="14">
        <v>5000</v>
      </c>
      <c r="E119" s="14"/>
      <c r="F119" s="14"/>
      <c r="G119" s="14"/>
      <c r="H119" s="14">
        <v>5000</v>
      </c>
      <c r="I119" s="14"/>
      <c r="J119" s="14"/>
      <c r="K119" s="14"/>
      <c r="L119" s="14">
        <v>5000</v>
      </c>
      <c r="M119" s="14"/>
      <c r="N119" s="14"/>
      <c r="O119" s="81">
        <f t="shared" si="42"/>
        <v>15000</v>
      </c>
      <c r="P119" s="65"/>
    </row>
    <row r="120" spans="1:17" ht="12.75" customHeight="1" x14ac:dyDescent="0.2">
      <c r="A120" s="35"/>
      <c r="B120" s="76" t="s">
        <v>181</v>
      </c>
      <c r="C120" s="77">
        <f t="shared" ref="C120:O120" si="46">SUM(C107:C119)</f>
        <v>14909.305</v>
      </c>
      <c r="D120" s="77">
        <f t="shared" si="46"/>
        <v>18909.305</v>
      </c>
      <c r="E120" s="77">
        <f t="shared" si="46"/>
        <v>28783.465</v>
      </c>
      <c r="F120" s="77">
        <f t="shared" si="46"/>
        <v>13909.305</v>
      </c>
      <c r="G120" s="77">
        <f t="shared" si="46"/>
        <v>13909.305</v>
      </c>
      <c r="H120" s="77">
        <f t="shared" si="46"/>
        <v>35583.464999999997</v>
      </c>
      <c r="I120" s="77">
        <f t="shared" si="46"/>
        <v>13909.305</v>
      </c>
      <c r="J120" s="77">
        <f t="shared" si="46"/>
        <v>13909.305</v>
      </c>
      <c r="K120" s="77">
        <f t="shared" si="46"/>
        <v>28783.465</v>
      </c>
      <c r="L120" s="77">
        <f t="shared" si="46"/>
        <v>18909.305</v>
      </c>
      <c r="M120" s="77">
        <f t="shared" si="46"/>
        <v>13909.305</v>
      </c>
      <c r="N120" s="77">
        <f t="shared" si="46"/>
        <v>33783.464999999997</v>
      </c>
      <c r="O120" s="77">
        <f t="shared" si="46"/>
        <v>249208.3</v>
      </c>
      <c r="P120" s="65"/>
      <c r="Q120" s="78">
        <f>SUM(Q114:Q118)</f>
        <v>11124</v>
      </c>
    </row>
    <row r="121" spans="1:17" ht="12.75" customHeight="1" x14ac:dyDescent="0.2">
      <c r="A121" s="35"/>
      <c r="B121" s="76" t="s">
        <v>194</v>
      </c>
      <c r="C121" s="78">
        <f t="shared" ref="C121:N121" si="47">$O$121/12</f>
        <v>58957.19999999999</v>
      </c>
      <c r="D121" s="78">
        <f t="shared" si="47"/>
        <v>58957.19999999999</v>
      </c>
      <c r="E121" s="78">
        <f t="shared" si="47"/>
        <v>58957.19999999999</v>
      </c>
      <c r="F121" s="78">
        <f t="shared" si="47"/>
        <v>58957.19999999999</v>
      </c>
      <c r="G121" s="78">
        <f t="shared" si="47"/>
        <v>58957.19999999999</v>
      </c>
      <c r="H121" s="78">
        <f t="shared" si="47"/>
        <v>58957.19999999999</v>
      </c>
      <c r="I121" s="78">
        <f t="shared" si="47"/>
        <v>58957.19999999999</v>
      </c>
      <c r="J121" s="78">
        <f t="shared" si="47"/>
        <v>58957.19999999999</v>
      </c>
      <c r="K121" s="78">
        <f t="shared" si="47"/>
        <v>58957.19999999999</v>
      </c>
      <c r="L121" s="78">
        <f t="shared" si="47"/>
        <v>58957.19999999999</v>
      </c>
      <c r="M121" s="78">
        <f t="shared" si="47"/>
        <v>58957.19999999999</v>
      </c>
      <c r="N121" s="78">
        <f t="shared" si="47"/>
        <v>58957.19999999999</v>
      </c>
      <c r="O121" s="78">
        <f>'Budget RH en nombre TTC'!G49</f>
        <v>707486.39999999991</v>
      </c>
      <c r="P121" s="65"/>
      <c r="Q121" s="87"/>
    </row>
    <row r="122" spans="1:17" ht="28" x14ac:dyDescent="0.2">
      <c r="A122" s="35"/>
      <c r="B122" s="88" t="s">
        <v>183</v>
      </c>
      <c r="C122" s="89">
        <f t="shared" ref="C122:O122" si="48">C106+C120+C121</f>
        <v>75266.50499999999</v>
      </c>
      <c r="D122" s="89">
        <f t="shared" si="48"/>
        <v>79266.50499999999</v>
      </c>
      <c r="E122" s="89">
        <f t="shared" si="48"/>
        <v>89140.664999999994</v>
      </c>
      <c r="F122" s="89">
        <f t="shared" si="48"/>
        <v>74266.50499999999</v>
      </c>
      <c r="G122" s="89">
        <f t="shared" si="48"/>
        <v>74266.50499999999</v>
      </c>
      <c r="H122" s="89">
        <f t="shared" si="48"/>
        <v>95940.664999999979</v>
      </c>
      <c r="I122" s="89">
        <f t="shared" si="48"/>
        <v>74266.50499999999</v>
      </c>
      <c r="J122" s="89">
        <f t="shared" si="48"/>
        <v>74266.50499999999</v>
      </c>
      <c r="K122" s="89">
        <f t="shared" si="48"/>
        <v>89140.664999999994</v>
      </c>
      <c r="L122" s="89">
        <f t="shared" si="48"/>
        <v>79266.50499999999</v>
      </c>
      <c r="M122" s="89">
        <f t="shared" si="48"/>
        <v>74266.50499999999</v>
      </c>
      <c r="N122" s="89">
        <f t="shared" si="48"/>
        <v>94140.664999999979</v>
      </c>
      <c r="O122" s="89">
        <f t="shared" si="48"/>
        <v>973494.7</v>
      </c>
      <c r="P122" s="65"/>
    </row>
    <row r="123" spans="1:17" s="35" customFormat="1" x14ac:dyDescent="0.2">
      <c r="B123" s="36"/>
      <c r="C123" s="111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1"/>
      <c r="P123" s="65"/>
    </row>
    <row r="124" spans="1:17" s="35" customFormat="1" x14ac:dyDescent="0.2">
      <c r="B124" s="36"/>
      <c r="C124" s="111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1"/>
      <c r="P124" s="65"/>
    </row>
    <row r="125" spans="1:17" ht="12.75" customHeight="1" x14ac:dyDescent="0.2">
      <c r="A125" s="35"/>
      <c r="B125" s="66"/>
      <c r="O125" s="55"/>
      <c r="P125" s="65"/>
    </row>
    <row r="126" spans="1:17" s="35" customFormat="1" ht="12.75" customHeight="1" x14ac:dyDescent="0.2">
      <c r="B126" s="66"/>
      <c r="O126" s="64"/>
      <c r="P126" s="65"/>
    </row>
    <row r="127" spans="1:17" s="35" customFormat="1" ht="31.5" customHeight="1" x14ac:dyDescent="0.2">
      <c r="B127" s="211" t="s">
        <v>207</v>
      </c>
      <c r="C127" s="211"/>
      <c r="D127" s="211"/>
      <c r="E127" s="211"/>
      <c r="F127" s="211"/>
      <c r="G127" s="211"/>
      <c r="H127" s="211"/>
      <c r="I127" s="211"/>
      <c r="J127" s="211"/>
      <c r="K127" s="211"/>
      <c r="L127" s="211"/>
      <c r="O127" s="64"/>
      <c r="P127" s="65"/>
    </row>
    <row r="128" spans="1:17" s="35" customFormat="1" ht="12.75" customHeight="1" x14ac:dyDescent="0.2">
      <c r="B128" s="66"/>
      <c r="O128" s="64"/>
      <c r="P128" s="65"/>
    </row>
    <row r="129" spans="1:17" ht="12.75" customHeight="1" x14ac:dyDescent="0.2">
      <c r="A129" s="35"/>
      <c r="B129" s="98"/>
      <c r="C129" s="39" t="s">
        <v>145</v>
      </c>
      <c r="D129" s="39" t="s">
        <v>146</v>
      </c>
      <c r="E129" s="39" t="s">
        <v>147</v>
      </c>
      <c r="F129" s="39" t="s">
        <v>148</v>
      </c>
      <c r="G129" s="39" t="s">
        <v>149</v>
      </c>
      <c r="H129" s="39" t="s">
        <v>150</v>
      </c>
      <c r="I129" s="39" t="s">
        <v>151</v>
      </c>
      <c r="J129" s="39" t="s">
        <v>152</v>
      </c>
      <c r="K129" s="39" t="s">
        <v>153</v>
      </c>
      <c r="L129" s="39" t="s">
        <v>154</v>
      </c>
      <c r="M129" s="39" t="s">
        <v>155</v>
      </c>
      <c r="N129" s="39" t="s">
        <v>156</v>
      </c>
      <c r="O129" s="68" t="s">
        <v>157</v>
      </c>
      <c r="P129" s="65"/>
    </row>
    <row r="130" spans="1:17" ht="12.75" customHeight="1" x14ac:dyDescent="0.2">
      <c r="A130" s="35"/>
      <c r="B130" s="70" t="s">
        <v>158</v>
      </c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80"/>
      <c r="P130" s="65"/>
    </row>
    <row r="131" spans="1:17" ht="12.75" customHeight="1" x14ac:dyDescent="0.2">
      <c r="A131" s="35"/>
      <c r="B131" s="82" t="s">
        <v>159</v>
      </c>
      <c r="C131" s="15">
        <f>'CA - Readspeaker et IBM Watson'!AY19</f>
        <v>107445</v>
      </c>
      <c r="D131" s="15">
        <f>'CA - Readspeaker et IBM Watson'!AZ19</f>
        <v>107445</v>
      </c>
      <c r="E131" s="15">
        <f>'CA - Readspeaker et IBM Watson'!BA19</f>
        <v>107445</v>
      </c>
      <c r="F131" s="15">
        <f>'CA - Readspeaker et IBM Watson'!BB19</f>
        <v>107445</v>
      </c>
      <c r="G131" s="15">
        <f>'CA - Readspeaker et IBM Watson'!BC19</f>
        <v>107445</v>
      </c>
      <c r="H131" s="15">
        <f>'CA - Readspeaker et IBM Watson'!BD19</f>
        <v>107445</v>
      </c>
      <c r="I131" s="15">
        <f>'CA - Readspeaker et IBM Watson'!BE19</f>
        <v>107445</v>
      </c>
      <c r="J131" s="15">
        <f>'CA - Readspeaker et IBM Watson'!BF19</f>
        <v>107445</v>
      </c>
      <c r="K131" s="15">
        <f>'CA - Readspeaker et IBM Watson'!BG19</f>
        <v>107445</v>
      </c>
      <c r="L131" s="15">
        <f>'CA - Readspeaker et IBM Watson'!BH19</f>
        <v>107445</v>
      </c>
      <c r="M131" s="15">
        <f>'CA - Readspeaker et IBM Watson'!BI19</f>
        <v>107445</v>
      </c>
      <c r="N131" s="15">
        <f>'CA - Readspeaker et IBM Watson'!BJ19</f>
        <v>107445</v>
      </c>
      <c r="O131" s="100">
        <f>SUM(C131:N131)</f>
        <v>1289340</v>
      </c>
      <c r="P131" s="65"/>
    </row>
    <row r="132" spans="1:17" ht="12.75" customHeight="1" x14ac:dyDescent="0.2">
      <c r="A132" s="35"/>
      <c r="B132" s="82" t="s">
        <v>160</v>
      </c>
      <c r="C132" s="15">
        <f>'CA - Readspeaker et IBM Watson'!AY40</f>
        <v>35613.95947200001</v>
      </c>
      <c r="D132" s="15">
        <f>'CA - Readspeaker et IBM Watson'!AZ40</f>
        <v>35613.95947200001</v>
      </c>
      <c r="E132" s="15">
        <f>'CA - Readspeaker et IBM Watson'!BA40</f>
        <v>35613.95947200001</v>
      </c>
      <c r="F132" s="15">
        <f>'CA - Readspeaker et IBM Watson'!BB40</f>
        <v>35613.95947200001</v>
      </c>
      <c r="G132" s="15">
        <f>'CA - Readspeaker et IBM Watson'!BC40</f>
        <v>35613.95947200001</v>
      </c>
      <c r="H132" s="15">
        <f>'CA - Readspeaker et IBM Watson'!BD40</f>
        <v>35613.95947200001</v>
      </c>
      <c r="I132" s="15">
        <f>'CA - Readspeaker et IBM Watson'!BE40</f>
        <v>35613.95947200001</v>
      </c>
      <c r="J132" s="15">
        <f>'CA - Readspeaker et IBM Watson'!BF40</f>
        <v>35613.95947200001</v>
      </c>
      <c r="K132" s="15">
        <f>'CA - Readspeaker et IBM Watson'!BG40</f>
        <v>35613.95947200001</v>
      </c>
      <c r="L132" s="15">
        <f>'CA - Readspeaker et IBM Watson'!BH40</f>
        <v>35613.95947200001</v>
      </c>
      <c r="M132" s="15">
        <f>'CA - Readspeaker et IBM Watson'!BI40</f>
        <v>35613.95947200001</v>
      </c>
      <c r="N132" s="15">
        <f>'CA - Readspeaker et IBM Watson'!BJ40</f>
        <v>35613.95947200001</v>
      </c>
      <c r="O132" s="100">
        <f>SUM(C132:N132)</f>
        <v>427367.51366400014</v>
      </c>
      <c r="P132" s="65"/>
    </row>
    <row r="133" spans="1:17" ht="12.75" customHeight="1" x14ac:dyDescent="0.2">
      <c r="A133" s="35"/>
      <c r="B133" s="82" t="s">
        <v>161</v>
      </c>
      <c r="C133" s="15">
        <f>'CA Visiophonie'!CF19</f>
        <v>33060</v>
      </c>
      <c r="D133" s="15">
        <f>'CA Visiophonie'!CH19</f>
        <v>33060</v>
      </c>
      <c r="E133" s="15">
        <f>'CA Visiophonie'!CJ19</f>
        <v>33060</v>
      </c>
      <c r="F133" s="15">
        <f>'CA Visiophonie'!CL19</f>
        <v>33060</v>
      </c>
      <c r="G133" s="15">
        <f>'CA Visiophonie'!CN19</f>
        <v>33060</v>
      </c>
      <c r="H133" s="15">
        <f>'CA Visiophonie'!CP19</f>
        <v>33060</v>
      </c>
      <c r="I133" s="15">
        <f>'CA Visiophonie'!CR19</f>
        <v>33060</v>
      </c>
      <c r="J133" s="15">
        <f>'CA Visiophonie'!CT19</f>
        <v>33060</v>
      </c>
      <c r="K133" s="15">
        <f>'CA Visiophonie'!CV19</f>
        <v>33060</v>
      </c>
      <c r="L133" s="15">
        <f>'CA Visiophonie'!CX19</f>
        <v>33060</v>
      </c>
      <c r="M133" s="15">
        <f>'CA Visiophonie'!CZ19</f>
        <v>33060</v>
      </c>
      <c r="N133" s="15">
        <f>'CA Visiophonie'!DB19</f>
        <v>33060</v>
      </c>
      <c r="O133" s="100">
        <f>SUM(C133:N133)</f>
        <v>396720</v>
      </c>
      <c r="P133" s="65"/>
    </row>
    <row r="134" spans="1:17" ht="12.75" customHeight="1" x14ac:dyDescent="0.2">
      <c r="A134" s="35"/>
      <c r="B134" s="76" t="s">
        <v>162</v>
      </c>
      <c r="C134" s="77">
        <f t="shared" ref="C134:O134" si="49">SUM(C131:C133)</f>
        <v>176118.95947200002</v>
      </c>
      <c r="D134" s="77">
        <f t="shared" si="49"/>
        <v>176118.95947200002</v>
      </c>
      <c r="E134" s="77">
        <f t="shared" si="49"/>
        <v>176118.95947200002</v>
      </c>
      <c r="F134" s="77">
        <f t="shared" si="49"/>
        <v>176118.95947200002</v>
      </c>
      <c r="G134" s="77">
        <f t="shared" si="49"/>
        <v>176118.95947200002</v>
      </c>
      <c r="H134" s="77">
        <f t="shared" si="49"/>
        <v>176118.95947200002</v>
      </c>
      <c r="I134" s="77">
        <f t="shared" si="49"/>
        <v>176118.95947200002</v>
      </c>
      <c r="J134" s="77">
        <f t="shared" si="49"/>
        <v>176118.95947200002</v>
      </c>
      <c r="K134" s="77">
        <f t="shared" si="49"/>
        <v>176118.95947200002</v>
      </c>
      <c r="L134" s="77">
        <f t="shared" si="49"/>
        <v>176118.95947200002</v>
      </c>
      <c r="M134" s="77">
        <f t="shared" si="49"/>
        <v>176118.95947200002</v>
      </c>
      <c r="N134" s="77">
        <f t="shared" si="49"/>
        <v>176118.95947200002</v>
      </c>
      <c r="O134" s="77">
        <f t="shared" si="49"/>
        <v>2113427.5136640002</v>
      </c>
      <c r="P134" s="65"/>
    </row>
    <row r="135" spans="1:17" ht="12.75" customHeight="1" x14ac:dyDescent="0.2">
      <c r="A135" s="35"/>
      <c r="B135" s="82" t="s">
        <v>124</v>
      </c>
      <c r="C135" s="15">
        <f>'CHIFFRE D''AFFAIRE B2B'!AS14</f>
        <v>0</v>
      </c>
      <c r="D135" s="15">
        <f>'CHIFFRE D''AFFAIRE B2B'!AT14</f>
        <v>0</v>
      </c>
      <c r="E135" s="15">
        <f>'CHIFFRE D''AFFAIRE B2B'!AU14</f>
        <v>33972.479999999996</v>
      </c>
      <c r="F135" s="15">
        <f>'CHIFFRE D''AFFAIRE B2B'!AV14</f>
        <v>0</v>
      </c>
      <c r="G135" s="15">
        <f>'CHIFFRE D''AFFAIRE B2B'!AW14</f>
        <v>0</v>
      </c>
      <c r="H135" s="15">
        <f>'CHIFFRE D''AFFAIRE B2B'!AX14</f>
        <v>16986.239999999998</v>
      </c>
      <c r="I135" s="15">
        <f>'CHIFFRE D''AFFAIRE B2B'!AY14</f>
        <v>0</v>
      </c>
      <c r="J135" s="15">
        <f>'CHIFFRE D''AFFAIRE B2B'!AZ14</f>
        <v>0</v>
      </c>
      <c r="K135" s="15">
        <f>'CHIFFRE D''AFFAIRE B2B'!BA14</f>
        <v>16986.239999999998</v>
      </c>
      <c r="L135" s="15">
        <f>'CHIFFRE D''AFFAIRE B2B'!BB14</f>
        <v>0</v>
      </c>
      <c r="M135" s="15">
        <f>'CHIFFRE D''AFFAIRE B2B'!BC14</f>
        <v>0</v>
      </c>
      <c r="N135" s="15">
        <f>'CHIFFRE D''AFFAIRE B2B'!BD14</f>
        <v>16986.239999999998</v>
      </c>
      <c r="O135" s="100">
        <f>SUM(C135:N135)</f>
        <v>84931.199999999983</v>
      </c>
      <c r="P135" s="65"/>
    </row>
    <row r="136" spans="1:17" ht="12.75" customHeight="1" x14ac:dyDescent="0.2">
      <c r="A136" s="35"/>
      <c r="B136" s="82" t="s">
        <v>125</v>
      </c>
      <c r="C136" s="15">
        <f>'CA - Visiophonie - B2B'!AR18</f>
        <v>4821.25</v>
      </c>
      <c r="D136" s="15">
        <f>'CA - Visiophonie - B2B'!AS18</f>
        <v>4821.25</v>
      </c>
      <c r="E136" s="15">
        <f>'CA - Visiophonie - B2B'!AT18</f>
        <v>4821.25</v>
      </c>
      <c r="F136" s="15">
        <f>'CA - Visiophonie - B2B'!AU18</f>
        <v>4821.25</v>
      </c>
      <c r="G136" s="15">
        <f>'CA - Visiophonie - B2B'!AV18</f>
        <v>4821.25</v>
      </c>
      <c r="H136" s="15">
        <f>'CA - Visiophonie - B2B'!AW18</f>
        <v>4821.25</v>
      </c>
      <c r="I136" s="15">
        <f>'CA - Visiophonie - B2B'!AX18</f>
        <v>4821.25</v>
      </c>
      <c r="J136" s="15">
        <f>'CA - Visiophonie - B2B'!AY18</f>
        <v>4821.25</v>
      </c>
      <c r="K136" s="15">
        <f>'CA - Visiophonie - B2B'!AZ18</f>
        <v>4821.25</v>
      </c>
      <c r="L136" s="15">
        <f>'CA - Visiophonie - B2B'!BA18</f>
        <v>4821.25</v>
      </c>
      <c r="M136" s="15">
        <f>'CA - Visiophonie - B2B'!BB18</f>
        <v>4821.25</v>
      </c>
      <c r="N136" s="15">
        <f>'CA - Visiophonie - B2B'!BC18</f>
        <v>4821.25</v>
      </c>
      <c r="O136" s="100">
        <f>SUM(C136:N136)</f>
        <v>57855</v>
      </c>
      <c r="P136" s="65"/>
    </row>
    <row r="137" spans="1:17" ht="12.75" customHeight="1" x14ac:dyDescent="0.2">
      <c r="A137" s="35"/>
      <c r="B137" s="76" t="s">
        <v>163</v>
      </c>
      <c r="C137" s="77">
        <f t="shared" ref="C137:O137" si="50">SUM(C135:C136)</f>
        <v>4821.25</v>
      </c>
      <c r="D137" s="77">
        <f t="shared" si="50"/>
        <v>4821.25</v>
      </c>
      <c r="E137" s="77">
        <f t="shared" si="50"/>
        <v>38793.729999999996</v>
      </c>
      <c r="F137" s="77">
        <f t="shared" si="50"/>
        <v>4821.25</v>
      </c>
      <c r="G137" s="77">
        <f t="shared" si="50"/>
        <v>4821.25</v>
      </c>
      <c r="H137" s="77">
        <f t="shared" si="50"/>
        <v>21807.489999999998</v>
      </c>
      <c r="I137" s="77">
        <f t="shared" si="50"/>
        <v>4821.25</v>
      </c>
      <c r="J137" s="77">
        <f t="shared" si="50"/>
        <v>4821.25</v>
      </c>
      <c r="K137" s="77">
        <f t="shared" si="50"/>
        <v>21807.489999999998</v>
      </c>
      <c r="L137" s="77">
        <f t="shared" si="50"/>
        <v>4821.25</v>
      </c>
      <c r="M137" s="77">
        <f t="shared" si="50"/>
        <v>4821.25</v>
      </c>
      <c r="N137" s="77">
        <f t="shared" si="50"/>
        <v>21807.489999999998</v>
      </c>
      <c r="O137" s="77">
        <f t="shared" si="50"/>
        <v>142786.19999999998</v>
      </c>
      <c r="P137" s="65"/>
    </row>
    <row r="138" spans="1:17" s="35" customFormat="1" ht="28" x14ac:dyDescent="0.2">
      <c r="B138" s="98" t="s">
        <v>198</v>
      </c>
      <c r="C138" s="57"/>
      <c r="D138" s="14"/>
      <c r="E138" s="14"/>
      <c r="F138" s="14"/>
      <c r="G138" s="14"/>
      <c r="H138" s="3"/>
      <c r="I138" s="14"/>
      <c r="J138" s="14"/>
      <c r="K138" s="14"/>
      <c r="L138" s="14"/>
      <c r="M138" s="14"/>
      <c r="N138" s="14"/>
      <c r="O138" s="48"/>
      <c r="P138" s="65"/>
    </row>
    <row r="139" spans="1:17" s="35" customFormat="1" ht="24.75" customHeight="1" x14ac:dyDescent="0.2">
      <c r="B139" s="76" t="s">
        <v>199</v>
      </c>
      <c r="C139" s="78">
        <f t="shared" ref="C139:N139" si="51">SUM(C138)</f>
        <v>0</v>
      </c>
      <c r="D139" s="78">
        <f t="shared" si="51"/>
        <v>0</v>
      </c>
      <c r="E139" s="78">
        <f t="shared" si="51"/>
        <v>0</v>
      </c>
      <c r="F139" s="78">
        <f t="shared" si="51"/>
        <v>0</v>
      </c>
      <c r="G139" s="78">
        <f t="shared" si="51"/>
        <v>0</v>
      </c>
      <c r="H139" s="78">
        <f t="shared" si="51"/>
        <v>0</v>
      </c>
      <c r="I139" s="78">
        <f t="shared" si="51"/>
        <v>0</v>
      </c>
      <c r="J139" s="78">
        <f t="shared" si="51"/>
        <v>0</v>
      </c>
      <c r="K139" s="78">
        <f t="shared" si="51"/>
        <v>0</v>
      </c>
      <c r="L139" s="78">
        <f t="shared" si="51"/>
        <v>0</v>
      </c>
      <c r="M139" s="78">
        <f t="shared" si="51"/>
        <v>0</v>
      </c>
      <c r="N139" s="78">
        <f t="shared" si="51"/>
        <v>0</v>
      </c>
      <c r="O139" s="78">
        <f>SUM(C139:N139)</f>
        <v>0</v>
      </c>
      <c r="P139" s="65"/>
    </row>
    <row r="140" spans="1:17" s="35" customFormat="1" x14ac:dyDescent="0.2">
      <c r="B140" s="76" t="s">
        <v>164</v>
      </c>
      <c r="C140" s="110">
        <f t="shared" ref="C140:N140" si="52">SUM(C139,C137,C134)</f>
        <v>180940.20947200002</v>
      </c>
      <c r="D140" s="110">
        <f t="shared" si="52"/>
        <v>180940.20947200002</v>
      </c>
      <c r="E140" s="110">
        <f t="shared" si="52"/>
        <v>214912.689472</v>
      </c>
      <c r="F140" s="110">
        <f t="shared" si="52"/>
        <v>180940.20947200002</v>
      </c>
      <c r="G140" s="110">
        <f t="shared" si="52"/>
        <v>180940.20947200002</v>
      </c>
      <c r="H140" s="110">
        <f t="shared" si="52"/>
        <v>197926.44947200001</v>
      </c>
      <c r="I140" s="110">
        <f t="shared" si="52"/>
        <v>180940.20947200002</v>
      </c>
      <c r="J140" s="110">
        <f t="shared" si="52"/>
        <v>180940.20947200002</v>
      </c>
      <c r="K140" s="110">
        <f t="shared" si="52"/>
        <v>197926.44947200001</v>
      </c>
      <c r="L140" s="110">
        <f t="shared" si="52"/>
        <v>180940.20947200002</v>
      </c>
      <c r="M140" s="110">
        <f t="shared" si="52"/>
        <v>180940.20947200002</v>
      </c>
      <c r="N140" s="110">
        <f t="shared" si="52"/>
        <v>197926.44947200001</v>
      </c>
      <c r="O140" s="100">
        <f>SUM(C140:N140)</f>
        <v>2256213.7136640004</v>
      </c>
      <c r="P140" s="65"/>
    </row>
    <row r="141" spans="1:17" ht="12.75" customHeight="1" x14ac:dyDescent="0.2">
      <c r="A141" s="35"/>
      <c r="B141" s="70" t="s">
        <v>189</v>
      </c>
      <c r="O141" s="64"/>
      <c r="P141" s="65"/>
    </row>
    <row r="142" spans="1:17" ht="12.75" customHeight="1" x14ac:dyDescent="0.2">
      <c r="A142" s="35"/>
      <c r="B142" s="82" t="s">
        <v>200</v>
      </c>
      <c r="C142" s="14">
        <f t="shared" ref="C142:N142" si="53">+C103</f>
        <v>200</v>
      </c>
      <c r="D142" s="14">
        <f t="shared" si="53"/>
        <v>200</v>
      </c>
      <c r="E142" s="14">
        <f t="shared" si="53"/>
        <v>200</v>
      </c>
      <c r="F142" s="14">
        <f t="shared" si="53"/>
        <v>200</v>
      </c>
      <c r="G142" s="14">
        <f t="shared" si="53"/>
        <v>200</v>
      </c>
      <c r="H142" s="14">
        <f t="shared" si="53"/>
        <v>200</v>
      </c>
      <c r="I142" s="14">
        <f t="shared" si="53"/>
        <v>200</v>
      </c>
      <c r="J142" s="14">
        <f t="shared" si="53"/>
        <v>200</v>
      </c>
      <c r="K142" s="14">
        <f t="shared" si="53"/>
        <v>200</v>
      </c>
      <c r="L142" s="14">
        <f t="shared" si="53"/>
        <v>200</v>
      </c>
      <c r="M142" s="14">
        <f t="shared" si="53"/>
        <v>200</v>
      </c>
      <c r="N142" s="14">
        <f t="shared" si="53"/>
        <v>200</v>
      </c>
      <c r="O142" s="81">
        <f>SUM(C142:N142)</f>
        <v>2400</v>
      </c>
      <c r="P142" s="65">
        <v>0.18</v>
      </c>
      <c r="Q142" s="35">
        <f>+O142*P142</f>
        <v>432</v>
      </c>
    </row>
    <row r="143" spans="1:17" ht="12.75" customHeight="1" x14ac:dyDescent="0.2">
      <c r="A143" s="35"/>
      <c r="B143" s="67" t="s">
        <v>168</v>
      </c>
      <c r="C143" s="14">
        <f t="shared" ref="C143:N143" si="54">+C104</f>
        <v>700</v>
      </c>
      <c r="D143" s="14">
        <f t="shared" si="54"/>
        <v>700</v>
      </c>
      <c r="E143" s="14">
        <f t="shared" si="54"/>
        <v>700</v>
      </c>
      <c r="F143" s="14">
        <f t="shared" si="54"/>
        <v>700</v>
      </c>
      <c r="G143" s="14">
        <f t="shared" si="54"/>
        <v>700</v>
      </c>
      <c r="H143" s="14">
        <f t="shared" si="54"/>
        <v>700</v>
      </c>
      <c r="I143" s="14">
        <f t="shared" si="54"/>
        <v>700</v>
      </c>
      <c r="J143" s="14">
        <f t="shared" si="54"/>
        <v>700</v>
      </c>
      <c r="K143" s="14">
        <f t="shared" si="54"/>
        <v>700</v>
      </c>
      <c r="L143" s="14">
        <f t="shared" si="54"/>
        <v>700</v>
      </c>
      <c r="M143" s="14">
        <f t="shared" si="54"/>
        <v>700</v>
      </c>
      <c r="N143" s="14">
        <f t="shared" si="54"/>
        <v>700</v>
      </c>
      <c r="O143" s="81">
        <f>SUM(C143:N143)</f>
        <v>8400</v>
      </c>
      <c r="P143" s="65">
        <v>0.12</v>
      </c>
      <c r="Q143" s="35">
        <f>+O143*P143</f>
        <v>1008</v>
      </c>
    </row>
    <row r="144" spans="1:17" ht="12.75" customHeight="1" x14ac:dyDescent="0.2">
      <c r="A144" s="35"/>
      <c r="B144" s="67" t="s">
        <v>167</v>
      </c>
      <c r="C144" s="14">
        <f t="shared" ref="C144:N144" si="55">+C105</f>
        <v>500</v>
      </c>
      <c r="D144" s="14">
        <f t="shared" si="55"/>
        <v>500</v>
      </c>
      <c r="E144" s="14">
        <f t="shared" si="55"/>
        <v>500</v>
      </c>
      <c r="F144" s="14">
        <f t="shared" si="55"/>
        <v>500</v>
      </c>
      <c r="G144" s="14">
        <f t="shared" si="55"/>
        <v>500</v>
      </c>
      <c r="H144" s="14">
        <f t="shared" si="55"/>
        <v>500</v>
      </c>
      <c r="I144" s="14">
        <f t="shared" si="55"/>
        <v>500</v>
      </c>
      <c r="J144" s="14">
        <f t="shared" si="55"/>
        <v>500</v>
      </c>
      <c r="K144" s="14">
        <f t="shared" si="55"/>
        <v>500</v>
      </c>
      <c r="L144" s="14">
        <f t="shared" si="55"/>
        <v>500</v>
      </c>
      <c r="M144" s="14">
        <f t="shared" si="55"/>
        <v>500</v>
      </c>
      <c r="N144" s="14">
        <f t="shared" si="55"/>
        <v>500</v>
      </c>
      <c r="O144" s="81">
        <f>SUM(C144:N144)</f>
        <v>6000</v>
      </c>
      <c r="P144" s="65">
        <v>0.12</v>
      </c>
      <c r="Q144" s="35">
        <f>+O144*P144</f>
        <v>720</v>
      </c>
    </row>
    <row r="145" spans="1:17" ht="12.75" customHeight="1" x14ac:dyDescent="0.2">
      <c r="A145" s="35"/>
      <c r="B145" s="76" t="s">
        <v>169</v>
      </c>
      <c r="C145" s="78">
        <f t="shared" ref="C145:O145" si="56">SUM(C142:C144)</f>
        <v>1400</v>
      </c>
      <c r="D145" s="78">
        <f t="shared" si="56"/>
        <v>1400</v>
      </c>
      <c r="E145" s="78">
        <f t="shared" si="56"/>
        <v>1400</v>
      </c>
      <c r="F145" s="78">
        <f t="shared" si="56"/>
        <v>1400</v>
      </c>
      <c r="G145" s="78">
        <f t="shared" si="56"/>
        <v>1400</v>
      </c>
      <c r="H145" s="78">
        <f t="shared" si="56"/>
        <v>1400</v>
      </c>
      <c r="I145" s="78">
        <f t="shared" si="56"/>
        <v>1400</v>
      </c>
      <c r="J145" s="78">
        <f t="shared" si="56"/>
        <v>1400</v>
      </c>
      <c r="K145" s="78">
        <f t="shared" si="56"/>
        <v>1400</v>
      </c>
      <c r="L145" s="78">
        <f t="shared" si="56"/>
        <v>1400</v>
      </c>
      <c r="M145" s="78">
        <f t="shared" si="56"/>
        <v>1400</v>
      </c>
      <c r="N145" s="78">
        <f t="shared" si="56"/>
        <v>1400</v>
      </c>
      <c r="O145" s="78">
        <f t="shared" si="56"/>
        <v>16800</v>
      </c>
      <c r="P145" s="78"/>
      <c r="Q145" s="78">
        <f>SUM(Q142:Q144)</f>
        <v>2160</v>
      </c>
    </row>
    <row r="146" spans="1:17" s="35" customFormat="1" ht="12.75" customHeight="1" x14ac:dyDescent="0.2">
      <c r="B146" s="82" t="s">
        <v>170</v>
      </c>
      <c r="C146" s="40">
        <f t="shared" ref="C146:N146" si="57">$O$146/12</f>
        <v>761.25</v>
      </c>
      <c r="D146" s="40">
        <f t="shared" si="57"/>
        <v>761.25</v>
      </c>
      <c r="E146" s="40">
        <f t="shared" si="57"/>
        <v>761.25</v>
      </c>
      <c r="F146" s="40">
        <f t="shared" si="57"/>
        <v>761.25</v>
      </c>
      <c r="G146" s="40">
        <f t="shared" si="57"/>
        <v>761.25</v>
      </c>
      <c r="H146" s="40">
        <f t="shared" si="57"/>
        <v>761.25</v>
      </c>
      <c r="I146" s="40">
        <f t="shared" si="57"/>
        <v>761.25</v>
      </c>
      <c r="J146" s="40">
        <f t="shared" si="57"/>
        <v>761.25</v>
      </c>
      <c r="K146" s="40">
        <f t="shared" si="57"/>
        <v>761.25</v>
      </c>
      <c r="L146" s="40">
        <f t="shared" si="57"/>
        <v>761.25</v>
      </c>
      <c r="M146" s="40">
        <f t="shared" si="57"/>
        <v>761.25</v>
      </c>
      <c r="N146" s="40">
        <f t="shared" si="57"/>
        <v>761.25</v>
      </c>
      <c r="O146" s="40">
        <f>'Frais IBM WATSON'!AW16</f>
        <v>9135</v>
      </c>
      <c r="P146" s="34"/>
      <c r="Q146" s="34"/>
    </row>
    <row r="147" spans="1:17" s="35" customFormat="1" ht="28" x14ac:dyDescent="0.2">
      <c r="B147" s="82" t="s">
        <v>171</v>
      </c>
      <c r="C147" s="40">
        <f t="shared" ref="C147:N147" si="58">$O$147/12</f>
        <v>897.12</v>
      </c>
      <c r="D147" s="40">
        <f t="shared" si="58"/>
        <v>897.12</v>
      </c>
      <c r="E147" s="40">
        <f t="shared" si="58"/>
        <v>897.12</v>
      </c>
      <c r="F147" s="40">
        <f t="shared" si="58"/>
        <v>897.12</v>
      </c>
      <c r="G147" s="40">
        <f t="shared" si="58"/>
        <v>897.12</v>
      </c>
      <c r="H147" s="40">
        <f t="shared" si="58"/>
        <v>897.12</v>
      </c>
      <c r="I147" s="40">
        <f t="shared" si="58"/>
        <v>897.12</v>
      </c>
      <c r="J147" s="40">
        <f t="shared" si="58"/>
        <v>897.12</v>
      </c>
      <c r="K147" s="40">
        <f t="shared" si="58"/>
        <v>897.12</v>
      </c>
      <c r="L147" s="40">
        <f t="shared" si="58"/>
        <v>897.12</v>
      </c>
      <c r="M147" s="40">
        <f t="shared" si="58"/>
        <v>897.12</v>
      </c>
      <c r="N147" s="40">
        <f t="shared" si="58"/>
        <v>897.12</v>
      </c>
      <c r="O147" s="40">
        <f>'Frais Readspeaker'!C6</f>
        <v>10765.44</v>
      </c>
      <c r="P147" s="34"/>
      <c r="Q147" s="34"/>
    </row>
    <row r="148" spans="1:17" x14ac:dyDescent="0.2">
      <c r="A148" s="35"/>
      <c r="B148" s="82" t="s">
        <v>172</v>
      </c>
      <c r="C148" s="43"/>
      <c r="D148" s="43"/>
      <c r="E148" s="43">
        <f>'Frais Readspeaker'!C6*2</f>
        <v>21530.880000000001</v>
      </c>
      <c r="F148" s="43"/>
      <c r="G148" s="43"/>
      <c r="H148" s="43">
        <f>'Frais Readspeaker'!C6</f>
        <v>10765.44</v>
      </c>
      <c r="I148" s="43"/>
      <c r="J148" s="43"/>
      <c r="K148" s="43">
        <f>'Frais Readspeaker'!C6</f>
        <v>10765.44</v>
      </c>
      <c r="L148" s="43"/>
      <c r="M148" s="43"/>
      <c r="N148" s="43">
        <f>'Frais Readspeaker'!C6</f>
        <v>10765.44</v>
      </c>
      <c r="O148" s="40">
        <f>SUM(C148:N148)</f>
        <v>53827.200000000004</v>
      </c>
      <c r="P148" s="34"/>
      <c r="Q148" s="34"/>
    </row>
    <row r="149" spans="1:17" ht="26.25" customHeight="1" x14ac:dyDescent="0.2">
      <c r="A149" s="35"/>
      <c r="B149" s="82" t="s">
        <v>208</v>
      </c>
      <c r="C149" s="39">
        <f t="shared" ref="C149:N149" si="59">C21*1.15</f>
        <v>459.99999999999994</v>
      </c>
      <c r="D149" s="39">
        <f t="shared" si="59"/>
        <v>459.99999999999994</v>
      </c>
      <c r="E149" s="39">
        <f t="shared" si="59"/>
        <v>459.99999999999994</v>
      </c>
      <c r="F149" s="39">
        <f t="shared" si="59"/>
        <v>459.99999999999994</v>
      </c>
      <c r="G149" s="39">
        <f t="shared" si="59"/>
        <v>459.99999999999994</v>
      </c>
      <c r="H149" s="39">
        <f t="shared" si="59"/>
        <v>459.99999999999994</v>
      </c>
      <c r="I149" s="39">
        <f t="shared" si="59"/>
        <v>459.99999999999994</v>
      </c>
      <c r="J149" s="39">
        <f t="shared" si="59"/>
        <v>459.99999999999994</v>
      </c>
      <c r="K149" s="39">
        <f t="shared" si="59"/>
        <v>459.99999999999994</v>
      </c>
      <c r="L149" s="39">
        <f t="shared" si="59"/>
        <v>459.99999999999994</v>
      </c>
      <c r="M149" s="39">
        <f t="shared" si="59"/>
        <v>459.99999999999994</v>
      </c>
      <c r="N149" s="39">
        <f t="shared" si="59"/>
        <v>459.99999999999994</v>
      </c>
      <c r="O149" s="39">
        <f>SUM(C149:N149)</f>
        <v>5519.9999999999991</v>
      </c>
      <c r="P149" s="34"/>
      <c r="Q149" s="34"/>
    </row>
    <row r="150" spans="1:17" ht="30" customHeight="1" x14ac:dyDescent="0.2">
      <c r="A150" s="35"/>
      <c r="B150" s="82" t="s">
        <v>201</v>
      </c>
      <c r="C150" s="39">
        <f t="shared" ref="C150:N150" si="60">$O$150/12</f>
        <v>6250</v>
      </c>
      <c r="D150" s="39">
        <f t="shared" si="60"/>
        <v>6250</v>
      </c>
      <c r="E150" s="39">
        <f t="shared" si="60"/>
        <v>6250</v>
      </c>
      <c r="F150" s="39">
        <f t="shared" si="60"/>
        <v>6250</v>
      </c>
      <c r="G150" s="39">
        <f t="shared" si="60"/>
        <v>6250</v>
      </c>
      <c r="H150" s="39">
        <f t="shared" si="60"/>
        <v>6250</v>
      </c>
      <c r="I150" s="39">
        <f t="shared" si="60"/>
        <v>6250</v>
      </c>
      <c r="J150" s="39">
        <f t="shared" si="60"/>
        <v>6250</v>
      </c>
      <c r="K150" s="39">
        <f t="shared" si="60"/>
        <v>6250</v>
      </c>
      <c r="L150" s="39">
        <f t="shared" si="60"/>
        <v>6250</v>
      </c>
      <c r="M150" s="39">
        <f t="shared" si="60"/>
        <v>6250</v>
      </c>
      <c r="N150" s="39">
        <f t="shared" si="60"/>
        <v>6250</v>
      </c>
      <c r="O150" s="39">
        <f>'Invest-Amort et TVA'!D6*0.15</f>
        <v>75000</v>
      </c>
      <c r="P150" s="34"/>
      <c r="Q150" s="34"/>
    </row>
    <row r="151" spans="1:17" ht="12.75" customHeight="1" x14ac:dyDescent="0.2">
      <c r="A151" s="35"/>
      <c r="B151" s="82" t="s">
        <v>174</v>
      </c>
      <c r="C151" s="42">
        <v>150</v>
      </c>
      <c r="D151" s="42">
        <v>150</v>
      </c>
      <c r="E151" s="42">
        <v>150</v>
      </c>
      <c r="F151" s="42">
        <v>150</v>
      </c>
      <c r="G151" s="42">
        <v>150</v>
      </c>
      <c r="H151" s="42">
        <v>150</v>
      </c>
      <c r="I151" s="42">
        <v>150</v>
      </c>
      <c r="J151" s="42">
        <v>150</v>
      </c>
      <c r="K151" s="42">
        <v>150</v>
      </c>
      <c r="L151" s="42">
        <v>150</v>
      </c>
      <c r="M151" s="42">
        <v>150</v>
      </c>
      <c r="N151" s="42">
        <v>150</v>
      </c>
      <c r="O151" s="81">
        <f t="shared" ref="O151:O158" si="61">SUM(C151:N151)</f>
        <v>1800</v>
      </c>
      <c r="P151" s="34"/>
      <c r="Q151" s="34"/>
    </row>
    <row r="152" spans="1:17" ht="12.75" customHeight="1" x14ac:dyDescent="0.2">
      <c r="A152" s="35"/>
      <c r="B152" s="82" t="s">
        <v>202</v>
      </c>
      <c r="C152" s="42">
        <v>100</v>
      </c>
      <c r="D152" s="42">
        <v>100</v>
      </c>
      <c r="E152" s="42">
        <v>100</v>
      </c>
      <c r="F152" s="42">
        <v>100</v>
      </c>
      <c r="G152" s="42">
        <v>100</v>
      </c>
      <c r="H152" s="42">
        <v>100</v>
      </c>
      <c r="I152" s="42">
        <v>100</v>
      </c>
      <c r="J152" s="42">
        <v>100</v>
      </c>
      <c r="K152" s="42">
        <v>100</v>
      </c>
      <c r="L152" s="42">
        <v>100</v>
      </c>
      <c r="M152" s="42">
        <v>100</v>
      </c>
      <c r="N152" s="42">
        <v>100</v>
      </c>
      <c r="O152" s="81">
        <f t="shared" si="61"/>
        <v>1200</v>
      </c>
      <c r="P152" s="34"/>
      <c r="Q152" s="34"/>
    </row>
    <row r="153" spans="1:17" s="35" customFormat="1" ht="12.75" customHeight="1" x14ac:dyDescent="0.2">
      <c r="B153" s="82" t="s">
        <v>203</v>
      </c>
      <c r="C153" s="42">
        <f>+N114*1.1</f>
        <v>4620</v>
      </c>
      <c r="D153" s="14">
        <f t="shared" ref="D153:N153" si="62">C153</f>
        <v>4620</v>
      </c>
      <c r="E153" s="14">
        <f t="shared" si="62"/>
        <v>4620</v>
      </c>
      <c r="F153" s="14">
        <f t="shared" si="62"/>
        <v>4620</v>
      </c>
      <c r="G153" s="14">
        <f t="shared" si="62"/>
        <v>4620</v>
      </c>
      <c r="H153" s="14">
        <f t="shared" si="62"/>
        <v>4620</v>
      </c>
      <c r="I153" s="14">
        <f t="shared" si="62"/>
        <v>4620</v>
      </c>
      <c r="J153" s="14">
        <f t="shared" si="62"/>
        <v>4620</v>
      </c>
      <c r="K153" s="14">
        <f t="shared" si="62"/>
        <v>4620</v>
      </c>
      <c r="L153" s="14">
        <f t="shared" si="62"/>
        <v>4620</v>
      </c>
      <c r="M153" s="14">
        <f t="shared" si="62"/>
        <v>4620</v>
      </c>
      <c r="N153" s="14">
        <f t="shared" si="62"/>
        <v>4620</v>
      </c>
      <c r="O153" s="81">
        <f t="shared" si="61"/>
        <v>55440</v>
      </c>
      <c r="P153" s="65">
        <v>0.12</v>
      </c>
      <c r="Q153" s="35">
        <f>+O153*P153</f>
        <v>6652.8</v>
      </c>
    </row>
    <row r="154" spans="1:17" s="35" customFormat="1" ht="12.75" customHeight="1" x14ac:dyDescent="0.2">
      <c r="B154" s="82" t="s">
        <v>204</v>
      </c>
      <c r="C154" s="14">
        <f>+N115</f>
        <v>300</v>
      </c>
      <c r="D154" s="14">
        <f t="shared" ref="D154:N154" si="63">+C154</f>
        <v>300</v>
      </c>
      <c r="E154" s="14">
        <f t="shared" si="63"/>
        <v>300</v>
      </c>
      <c r="F154" s="14">
        <f t="shared" si="63"/>
        <v>300</v>
      </c>
      <c r="G154" s="14">
        <f t="shared" si="63"/>
        <v>300</v>
      </c>
      <c r="H154" s="14">
        <f t="shared" si="63"/>
        <v>300</v>
      </c>
      <c r="I154" s="14">
        <f t="shared" si="63"/>
        <v>300</v>
      </c>
      <c r="J154" s="14">
        <f t="shared" si="63"/>
        <v>300</v>
      </c>
      <c r="K154" s="14">
        <f t="shared" si="63"/>
        <v>300</v>
      </c>
      <c r="L154" s="14">
        <f t="shared" si="63"/>
        <v>300</v>
      </c>
      <c r="M154" s="14">
        <f t="shared" si="63"/>
        <v>300</v>
      </c>
      <c r="N154" s="14">
        <f t="shared" si="63"/>
        <v>300</v>
      </c>
      <c r="O154" s="81">
        <f t="shared" si="61"/>
        <v>3600</v>
      </c>
      <c r="P154" s="65">
        <v>0.12</v>
      </c>
      <c r="Q154" s="35">
        <f>+O154*P154</f>
        <v>432</v>
      </c>
    </row>
    <row r="155" spans="1:17" s="35" customFormat="1" ht="12.75" customHeight="1" x14ac:dyDescent="0.2">
      <c r="B155" s="67" t="s">
        <v>178</v>
      </c>
      <c r="C155" s="14">
        <v>1000</v>
      </c>
      <c r="D155" s="14">
        <f t="shared" ref="D155:N155" si="64">+C155</f>
        <v>1000</v>
      </c>
      <c r="E155" s="14">
        <f t="shared" si="64"/>
        <v>1000</v>
      </c>
      <c r="F155" s="14">
        <f t="shared" si="64"/>
        <v>1000</v>
      </c>
      <c r="G155" s="14">
        <f t="shared" si="64"/>
        <v>1000</v>
      </c>
      <c r="H155" s="14">
        <f t="shared" si="64"/>
        <v>1000</v>
      </c>
      <c r="I155" s="14">
        <f t="shared" si="64"/>
        <v>1000</v>
      </c>
      <c r="J155" s="14">
        <f t="shared" si="64"/>
        <v>1000</v>
      </c>
      <c r="K155" s="14">
        <f t="shared" si="64"/>
        <v>1000</v>
      </c>
      <c r="L155" s="14">
        <f t="shared" si="64"/>
        <v>1000</v>
      </c>
      <c r="M155" s="14">
        <f t="shared" si="64"/>
        <v>1000</v>
      </c>
      <c r="N155" s="14">
        <f t="shared" si="64"/>
        <v>1000</v>
      </c>
      <c r="O155" s="81">
        <f t="shared" si="61"/>
        <v>12000</v>
      </c>
      <c r="P155" s="65">
        <v>0.18</v>
      </c>
      <c r="Q155" s="35">
        <f>+O155*P155</f>
        <v>2160</v>
      </c>
    </row>
    <row r="156" spans="1:17" s="35" customFormat="1" ht="12.75" customHeight="1" x14ac:dyDescent="0.2">
      <c r="B156" s="82" t="s">
        <v>193</v>
      </c>
      <c r="C156" s="14">
        <v>1000</v>
      </c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81">
        <f t="shared" si="61"/>
        <v>1000</v>
      </c>
      <c r="P156" s="65">
        <v>0.18</v>
      </c>
      <c r="Q156" s="35">
        <f>+O156*P156</f>
        <v>180</v>
      </c>
    </row>
    <row r="157" spans="1:17" s="35" customFormat="1" ht="12.75" customHeight="1" x14ac:dyDescent="0.2">
      <c r="B157" s="82" t="s">
        <v>205</v>
      </c>
      <c r="C157" s="14"/>
      <c r="D157" s="14"/>
      <c r="E157" s="14">
        <f>'Plan de communication'!N16</f>
        <v>53550</v>
      </c>
      <c r="F157" s="14"/>
      <c r="G157" s="14"/>
      <c r="H157" s="14">
        <f>'Plan de communication'!O16</f>
        <v>5350</v>
      </c>
      <c r="I157" s="14"/>
      <c r="J157" s="14"/>
      <c r="K157" s="14">
        <f>'Plan de communication'!P16</f>
        <v>3550</v>
      </c>
      <c r="L157" s="14"/>
      <c r="M157" s="14"/>
      <c r="N157" s="14">
        <f>'Plan de communication'!Q16</f>
        <v>8550</v>
      </c>
      <c r="O157" s="81">
        <f t="shared" si="61"/>
        <v>71000</v>
      </c>
      <c r="P157" s="65">
        <v>0.12</v>
      </c>
      <c r="Q157" s="35">
        <f>+O157*P157</f>
        <v>8520</v>
      </c>
    </row>
    <row r="158" spans="1:17" s="35" customFormat="1" ht="12.75" customHeight="1" x14ac:dyDescent="0.2">
      <c r="B158" s="82" t="s">
        <v>209</v>
      </c>
      <c r="C158" s="14"/>
      <c r="D158" s="14"/>
      <c r="E158" s="14">
        <v>5000</v>
      </c>
      <c r="F158" s="14"/>
      <c r="G158" s="14"/>
      <c r="H158" s="14"/>
      <c r="I158" s="14"/>
      <c r="J158" s="14">
        <v>5000</v>
      </c>
      <c r="K158" s="14"/>
      <c r="L158" s="14"/>
      <c r="M158" s="14"/>
      <c r="N158" s="14"/>
      <c r="O158" s="81">
        <f t="shared" si="61"/>
        <v>10000</v>
      </c>
      <c r="P158" s="65"/>
      <c r="Q158"/>
    </row>
    <row r="159" spans="1:17" s="35" customFormat="1" ht="12.75" customHeight="1" x14ac:dyDescent="0.2">
      <c r="B159" s="76" t="s">
        <v>181</v>
      </c>
      <c r="C159" s="77">
        <f t="shared" ref="C159:O159" si="65">SUM(C146:C158)</f>
        <v>15538.369999999999</v>
      </c>
      <c r="D159" s="77">
        <f t="shared" si="65"/>
        <v>14538.369999999999</v>
      </c>
      <c r="E159" s="77">
        <f t="shared" si="65"/>
        <v>94619.25</v>
      </c>
      <c r="F159" s="77">
        <f t="shared" si="65"/>
        <v>14538.369999999999</v>
      </c>
      <c r="G159" s="77">
        <f t="shared" si="65"/>
        <v>14538.369999999999</v>
      </c>
      <c r="H159" s="77">
        <f t="shared" si="65"/>
        <v>30653.81</v>
      </c>
      <c r="I159" s="77">
        <f t="shared" si="65"/>
        <v>14538.369999999999</v>
      </c>
      <c r="J159" s="77">
        <f t="shared" si="65"/>
        <v>19538.37</v>
      </c>
      <c r="K159" s="77">
        <f t="shared" si="65"/>
        <v>28853.81</v>
      </c>
      <c r="L159" s="77">
        <f t="shared" si="65"/>
        <v>14538.369999999999</v>
      </c>
      <c r="M159" s="77">
        <f t="shared" si="65"/>
        <v>14538.369999999999</v>
      </c>
      <c r="N159" s="77">
        <f t="shared" si="65"/>
        <v>33853.81</v>
      </c>
      <c r="O159" s="77">
        <f t="shared" si="65"/>
        <v>310287.64</v>
      </c>
      <c r="P159" s="65"/>
      <c r="Q159" s="78">
        <f>SUM(Q153:Q157)</f>
        <v>17944.8</v>
      </c>
    </row>
    <row r="160" spans="1:17" s="35" customFormat="1" ht="12.75" customHeight="1" x14ac:dyDescent="0.2">
      <c r="B160" s="76" t="s">
        <v>194</v>
      </c>
      <c r="C160" s="77">
        <f t="shared" ref="C160:N160" si="66">$O$160/12</f>
        <v>60885.404999999999</v>
      </c>
      <c r="D160" s="77">
        <f t="shared" si="66"/>
        <v>60885.404999999999</v>
      </c>
      <c r="E160" s="77">
        <f t="shared" si="66"/>
        <v>60885.404999999999</v>
      </c>
      <c r="F160" s="77">
        <f t="shared" si="66"/>
        <v>60885.404999999999</v>
      </c>
      <c r="G160" s="77">
        <f t="shared" si="66"/>
        <v>60885.404999999999</v>
      </c>
      <c r="H160" s="77">
        <f t="shared" si="66"/>
        <v>60885.404999999999</v>
      </c>
      <c r="I160" s="77">
        <f t="shared" si="66"/>
        <v>60885.404999999999</v>
      </c>
      <c r="J160" s="77">
        <f t="shared" si="66"/>
        <v>60885.404999999999</v>
      </c>
      <c r="K160" s="77">
        <f t="shared" si="66"/>
        <v>60885.404999999999</v>
      </c>
      <c r="L160" s="77">
        <f t="shared" si="66"/>
        <v>60885.404999999999</v>
      </c>
      <c r="M160" s="77">
        <f t="shared" si="66"/>
        <v>60885.404999999999</v>
      </c>
      <c r="N160" s="77">
        <f t="shared" si="66"/>
        <v>60885.404999999999</v>
      </c>
      <c r="O160" s="77">
        <f>'Budget RH en nombre TTC'!I49</f>
        <v>730624.86</v>
      </c>
      <c r="P160" s="65"/>
      <c r="Q160" s="87"/>
    </row>
    <row r="161" spans="1:17" s="35" customFormat="1" ht="28" x14ac:dyDescent="0.2">
      <c r="B161" s="88" t="s">
        <v>183</v>
      </c>
      <c r="C161" s="89">
        <f t="shared" ref="C161:O161" si="67">C145+C159+C160</f>
        <v>77823.774999999994</v>
      </c>
      <c r="D161" s="89">
        <f t="shared" si="67"/>
        <v>76823.774999999994</v>
      </c>
      <c r="E161" s="89">
        <f t="shared" si="67"/>
        <v>156904.655</v>
      </c>
      <c r="F161" s="89">
        <f t="shared" si="67"/>
        <v>76823.774999999994</v>
      </c>
      <c r="G161" s="89">
        <f t="shared" si="67"/>
        <v>76823.774999999994</v>
      </c>
      <c r="H161" s="89">
        <f t="shared" si="67"/>
        <v>92939.214999999997</v>
      </c>
      <c r="I161" s="89">
        <f t="shared" si="67"/>
        <v>76823.774999999994</v>
      </c>
      <c r="J161" s="89">
        <f t="shared" si="67"/>
        <v>81823.774999999994</v>
      </c>
      <c r="K161" s="89">
        <f t="shared" si="67"/>
        <v>91139.214999999997</v>
      </c>
      <c r="L161" s="89">
        <f t="shared" si="67"/>
        <v>76823.774999999994</v>
      </c>
      <c r="M161" s="89">
        <f t="shared" si="67"/>
        <v>76823.774999999994</v>
      </c>
      <c r="N161" s="89">
        <f t="shared" si="67"/>
        <v>96139.214999999997</v>
      </c>
      <c r="O161" s="89">
        <f t="shared" si="67"/>
        <v>1057712.5</v>
      </c>
      <c r="P161" s="65"/>
      <c r="Q161"/>
    </row>
    <row r="162" spans="1:17" s="35" customFormat="1" ht="12.75" customHeight="1" x14ac:dyDescent="0.2">
      <c r="B162" s="82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68"/>
      <c r="P162" s="65"/>
      <c r="Q162"/>
    </row>
    <row r="163" spans="1:17" s="35" customFormat="1" ht="12.75" customHeight="1" x14ac:dyDescent="0.2">
      <c r="B163" s="82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68"/>
      <c r="P163" s="65"/>
      <c r="Q163"/>
    </row>
    <row r="164" spans="1:17" s="35" customFormat="1" ht="12.75" customHeight="1" x14ac:dyDescent="0.2">
      <c r="B164" s="96"/>
      <c r="C164" s="92"/>
      <c r="D164" s="92"/>
      <c r="E164" s="92"/>
      <c r="F164" s="92"/>
      <c r="G164" s="92"/>
      <c r="H164" s="92"/>
      <c r="I164" s="92"/>
      <c r="J164" s="92"/>
      <c r="K164" s="92"/>
      <c r="L164" s="92"/>
      <c r="M164" s="92"/>
      <c r="N164" s="92"/>
      <c r="O164" s="93"/>
      <c r="P164" s="65"/>
      <c r="Q164"/>
    </row>
    <row r="165" spans="1:17" s="35" customFormat="1" ht="12.75" customHeight="1" x14ac:dyDescent="0.2">
      <c r="B165" s="82"/>
      <c r="C165" s="94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68"/>
      <c r="P165" s="65"/>
      <c r="Q165"/>
    </row>
    <row r="166" spans="1:17" s="35" customFormat="1" ht="12.75" customHeight="1" x14ac:dyDescent="0.2">
      <c r="B166" s="82"/>
      <c r="C166" s="94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68"/>
      <c r="P166" s="65"/>
      <c r="Q166"/>
    </row>
    <row r="167" spans="1:17" s="35" customFormat="1" ht="12.75" customHeight="1" x14ac:dyDescent="0.2">
      <c r="B167" s="96"/>
      <c r="C167" s="92"/>
      <c r="D167" s="92"/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3"/>
      <c r="P167" s="65"/>
      <c r="Q167"/>
    </row>
    <row r="168" spans="1:17" s="35" customFormat="1" ht="12.75" customHeight="1" x14ac:dyDescent="0.2">
      <c r="B168" s="88"/>
      <c r="C168" s="97"/>
      <c r="D168" s="97"/>
      <c r="E168" s="97"/>
      <c r="F168" s="97"/>
      <c r="G168" s="97"/>
      <c r="H168" s="97"/>
      <c r="I168" s="97"/>
      <c r="J168" s="97"/>
      <c r="K168" s="97"/>
      <c r="L168" s="97"/>
      <c r="M168" s="97"/>
      <c r="N168" s="97"/>
      <c r="O168" s="68"/>
      <c r="P168" s="65"/>
      <c r="Q168"/>
    </row>
    <row r="169" spans="1:17" ht="12.75" customHeight="1" x14ac:dyDescent="0.2">
      <c r="A169" s="35"/>
      <c r="B169" s="66"/>
      <c r="O169" s="64"/>
      <c r="P169" s="65"/>
    </row>
    <row r="170" spans="1:17" ht="12.75" customHeight="1" x14ac:dyDescent="0.2">
      <c r="A170" s="35"/>
      <c r="B170" s="66"/>
      <c r="O170" s="64"/>
      <c r="P170" s="65"/>
    </row>
    <row r="171" spans="1:17" ht="12.75" customHeight="1" x14ac:dyDescent="0.2">
      <c r="A171" s="35"/>
      <c r="B171" s="88"/>
      <c r="C171" s="97"/>
      <c r="D171" s="97"/>
      <c r="E171" s="97"/>
      <c r="F171" s="97"/>
      <c r="G171" s="97"/>
      <c r="H171" s="97"/>
      <c r="I171" s="97"/>
      <c r="J171" s="97"/>
      <c r="K171" s="97"/>
      <c r="L171" s="97"/>
      <c r="M171" s="97"/>
      <c r="N171" s="97"/>
      <c r="O171" s="68"/>
      <c r="P171" s="65"/>
    </row>
    <row r="172" spans="1:17" ht="12.75" customHeight="1" x14ac:dyDescent="0.2">
      <c r="A172" s="35"/>
      <c r="B172" s="66"/>
      <c r="O172" s="64"/>
      <c r="P172" s="65"/>
    </row>
    <row r="173" spans="1:17" ht="12.75" customHeight="1" x14ac:dyDescent="0.2">
      <c r="A173" s="35"/>
      <c r="B173" s="66"/>
      <c r="O173" s="64"/>
      <c r="P173" s="65"/>
    </row>
    <row r="174" spans="1:17" s="35" customFormat="1" ht="31.5" customHeight="1" x14ac:dyDescent="0.2">
      <c r="B174" s="211" t="s">
        <v>210</v>
      </c>
      <c r="C174" s="211"/>
      <c r="D174" s="211"/>
      <c r="E174" s="211"/>
      <c r="F174" s="211"/>
      <c r="G174" s="211"/>
      <c r="H174" s="211"/>
      <c r="I174" s="211"/>
      <c r="J174" s="211"/>
      <c r="K174" s="211"/>
      <c r="L174" s="211"/>
      <c r="O174" s="64"/>
      <c r="P174" s="65"/>
    </row>
    <row r="175" spans="1:17" s="35" customFormat="1" ht="12.75" customHeight="1" x14ac:dyDescent="0.2">
      <c r="B175" s="66"/>
      <c r="O175" s="64"/>
      <c r="P175" s="65"/>
    </row>
    <row r="176" spans="1:17" s="35" customFormat="1" ht="12.75" customHeight="1" x14ac:dyDescent="0.2">
      <c r="B176" s="98"/>
      <c r="C176" s="39" t="s">
        <v>145</v>
      </c>
      <c r="D176" s="39" t="s">
        <v>146</v>
      </c>
      <c r="E176" s="39" t="s">
        <v>147</v>
      </c>
      <c r="F176" s="39" t="s">
        <v>148</v>
      </c>
      <c r="G176" s="39" t="s">
        <v>149</v>
      </c>
      <c r="H176" s="39" t="s">
        <v>150</v>
      </c>
      <c r="I176" s="39" t="s">
        <v>151</v>
      </c>
      <c r="J176" s="39" t="s">
        <v>152</v>
      </c>
      <c r="K176" s="39" t="s">
        <v>153</v>
      </c>
      <c r="L176" s="39" t="s">
        <v>154</v>
      </c>
      <c r="M176" s="39" t="s">
        <v>155</v>
      </c>
      <c r="N176" s="39" t="s">
        <v>156</v>
      </c>
      <c r="O176" s="68" t="s">
        <v>157</v>
      </c>
      <c r="P176" s="65"/>
    </row>
    <row r="177" spans="1:17" s="35" customFormat="1" ht="12.75" customHeight="1" x14ac:dyDescent="0.2">
      <c r="B177" s="70" t="s">
        <v>211</v>
      </c>
      <c r="C177" s="79"/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79"/>
      <c r="O177" s="80"/>
      <c r="P177" s="65"/>
    </row>
    <row r="178" spans="1:17" s="35" customFormat="1" ht="12.75" customHeight="1" x14ac:dyDescent="0.2">
      <c r="B178" s="82" t="s">
        <v>159</v>
      </c>
      <c r="C178" s="15">
        <f>'CA - Readspeaker et IBM Watson'!BK19</f>
        <v>118560</v>
      </c>
      <c r="D178" s="15">
        <f>'CA - Readspeaker et IBM Watson'!BL19</f>
        <v>118560</v>
      </c>
      <c r="E178" s="15">
        <f>'CA - Readspeaker et IBM Watson'!BM19</f>
        <v>118560</v>
      </c>
      <c r="F178" s="15">
        <f>'CA - Readspeaker et IBM Watson'!BN19</f>
        <v>118560</v>
      </c>
      <c r="G178" s="15">
        <f>'CA - Readspeaker et IBM Watson'!BO19</f>
        <v>118560</v>
      </c>
      <c r="H178" s="15">
        <f>'CA - Readspeaker et IBM Watson'!BP19</f>
        <v>118560</v>
      </c>
      <c r="I178" s="15">
        <f>'CA - Readspeaker et IBM Watson'!BQ19</f>
        <v>118560</v>
      </c>
      <c r="J178" s="15">
        <f>'CA - Readspeaker et IBM Watson'!BR19</f>
        <v>118560</v>
      </c>
      <c r="K178" s="15">
        <f>'CA - Readspeaker et IBM Watson'!BS19</f>
        <v>118560</v>
      </c>
      <c r="L178" s="15">
        <f>'CA - Readspeaker et IBM Watson'!BT19</f>
        <v>118560</v>
      </c>
      <c r="M178" s="15">
        <f>'CA - Readspeaker et IBM Watson'!BU19</f>
        <v>118560</v>
      </c>
      <c r="N178" s="15">
        <f>'CA - Readspeaker et IBM Watson'!BV19</f>
        <v>118560</v>
      </c>
      <c r="O178" s="100">
        <f>SUM(C178:N178)</f>
        <v>1422720</v>
      </c>
      <c r="P178" s="65"/>
    </row>
    <row r="179" spans="1:17" s="35" customFormat="1" ht="12.75" customHeight="1" x14ac:dyDescent="0.2">
      <c r="B179" s="82" t="s">
        <v>160</v>
      </c>
      <c r="C179" s="15">
        <f>'CA - Readspeaker et IBM Watson'!BK40</f>
        <v>37258.610688000001</v>
      </c>
      <c r="D179" s="15">
        <f>'CA - Readspeaker et IBM Watson'!BL40</f>
        <v>37258.610688000001</v>
      </c>
      <c r="E179" s="15">
        <f>'CA - Readspeaker et IBM Watson'!BM40</f>
        <v>37258.610688000001</v>
      </c>
      <c r="F179" s="15">
        <f>'CA - Readspeaker et IBM Watson'!BN40</f>
        <v>37258.610688000001</v>
      </c>
      <c r="G179" s="15">
        <f>'CA - Readspeaker et IBM Watson'!BO40</f>
        <v>37258.610688000001</v>
      </c>
      <c r="H179" s="15">
        <f>'CA - Readspeaker et IBM Watson'!BP40</f>
        <v>37258.610688000001</v>
      </c>
      <c r="I179" s="15">
        <f>'CA - Readspeaker et IBM Watson'!BQ40</f>
        <v>37258.610688000001</v>
      </c>
      <c r="J179" s="15">
        <f>'CA - Readspeaker et IBM Watson'!BR40</f>
        <v>37258.610688000001</v>
      </c>
      <c r="K179" s="15">
        <f>'CA - Readspeaker et IBM Watson'!BS40</f>
        <v>37258.610688000001</v>
      </c>
      <c r="L179" s="15">
        <f>'CA - Readspeaker et IBM Watson'!BT40</f>
        <v>37258.610688000001</v>
      </c>
      <c r="M179" s="15">
        <f>'CA - Readspeaker et IBM Watson'!BU40</f>
        <v>37258.610688000001</v>
      </c>
      <c r="N179" s="15">
        <f>'CA - Readspeaker et IBM Watson'!BV40</f>
        <v>37258.610688000001</v>
      </c>
      <c r="O179" s="100">
        <f>SUM(C179:N179)</f>
        <v>447103.32825599989</v>
      </c>
      <c r="P179" s="65"/>
    </row>
    <row r="180" spans="1:17" s="35" customFormat="1" ht="12.75" customHeight="1" x14ac:dyDescent="0.2">
      <c r="B180" s="82" t="s">
        <v>161</v>
      </c>
      <c r="C180" s="15">
        <f>'CA Visiophonie'!DD19</f>
        <v>36480</v>
      </c>
      <c r="D180" s="15">
        <f>'CA Visiophonie'!DF19</f>
        <v>36480</v>
      </c>
      <c r="E180" s="15">
        <f>'CA Visiophonie'!DH19</f>
        <v>36480</v>
      </c>
      <c r="F180" s="15">
        <f>'CA Visiophonie'!DJ19</f>
        <v>36480</v>
      </c>
      <c r="G180" s="15">
        <f>'CA Visiophonie'!DL19</f>
        <v>36480</v>
      </c>
      <c r="H180" s="15">
        <f>'CA Visiophonie'!DN19</f>
        <v>36480</v>
      </c>
      <c r="I180" s="15">
        <f>'CA Visiophonie'!DP19</f>
        <v>36480</v>
      </c>
      <c r="J180" s="15">
        <f>'CA Visiophonie'!DR19</f>
        <v>36480</v>
      </c>
      <c r="K180" s="15">
        <f>'CA Visiophonie'!DT19</f>
        <v>36480</v>
      </c>
      <c r="L180" s="15">
        <f>'CA Visiophonie'!DV19</f>
        <v>36480</v>
      </c>
      <c r="M180" s="15">
        <f>'CA Visiophonie'!DX19</f>
        <v>36480</v>
      </c>
      <c r="N180" s="15">
        <f>'CA Visiophonie'!DZ19</f>
        <v>36480</v>
      </c>
      <c r="O180" s="100">
        <f>SUM(C180:N180)</f>
        <v>437760</v>
      </c>
      <c r="P180" s="65"/>
    </row>
    <row r="181" spans="1:17" s="35" customFormat="1" ht="12.75" customHeight="1" x14ac:dyDescent="0.2">
      <c r="B181" s="76" t="s">
        <v>162</v>
      </c>
      <c r="C181" s="77">
        <f t="shared" ref="C181:O181" si="68">SUM(C178:C180)</f>
        <v>192298.61068799999</v>
      </c>
      <c r="D181" s="77">
        <f t="shared" si="68"/>
        <v>192298.61068799999</v>
      </c>
      <c r="E181" s="77">
        <f t="shared" si="68"/>
        <v>192298.61068799999</v>
      </c>
      <c r="F181" s="77">
        <f t="shared" si="68"/>
        <v>192298.61068799999</v>
      </c>
      <c r="G181" s="77">
        <f t="shared" si="68"/>
        <v>192298.61068799999</v>
      </c>
      <c r="H181" s="77">
        <f t="shared" si="68"/>
        <v>192298.61068799999</v>
      </c>
      <c r="I181" s="77">
        <f t="shared" si="68"/>
        <v>192298.61068799999</v>
      </c>
      <c r="J181" s="77">
        <f t="shared" si="68"/>
        <v>192298.61068799999</v>
      </c>
      <c r="K181" s="77">
        <f t="shared" si="68"/>
        <v>192298.61068799999</v>
      </c>
      <c r="L181" s="77">
        <f t="shared" si="68"/>
        <v>192298.61068799999</v>
      </c>
      <c r="M181" s="77">
        <f t="shared" si="68"/>
        <v>192298.61068799999</v>
      </c>
      <c r="N181" s="77">
        <f t="shared" si="68"/>
        <v>192298.61068799999</v>
      </c>
      <c r="O181" s="77">
        <f t="shared" si="68"/>
        <v>2307583.3282559998</v>
      </c>
      <c r="P181" s="65" t="s">
        <v>360</v>
      </c>
    </row>
    <row r="182" spans="1:17" s="35" customFormat="1" ht="12.75" customHeight="1" x14ac:dyDescent="0.2">
      <c r="B182" s="82" t="s">
        <v>124</v>
      </c>
      <c r="C182" s="15">
        <f>'CHIFFRE D''AFFAIRE B2B'!BE14</f>
        <v>0</v>
      </c>
      <c r="D182" s="15">
        <f>'CHIFFRE D''AFFAIRE B2B'!BF14</f>
        <v>0</v>
      </c>
      <c r="E182" s="15">
        <f>'CHIFFRE D''AFFAIRE B2B'!BG14</f>
        <v>33972.479999999996</v>
      </c>
      <c r="F182" s="15">
        <f>'CHIFFRE D''AFFAIRE B2B'!BH14</f>
        <v>0</v>
      </c>
      <c r="G182" s="15">
        <f>'CHIFFRE D''AFFAIRE B2B'!BI14</f>
        <v>0</v>
      </c>
      <c r="H182" s="15">
        <f>'CHIFFRE D''AFFAIRE B2B'!BJ14</f>
        <v>16986.239999999998</v>
      </c>
      <c r="I182" s="15">
        <f>'CHIFFRE D''AFFAIRE B2B'!BK14</f>
        <v>0</v>
      </c>
      <c r="J182" s="15">
        <f>'CHIFFRE D''AFFAIRE B2B'!BL14</f>
        <v>0</v>
      </c>
      <c r="K182" s="15">
        <f>'CHIFFRE D''AFFAIRE B2B'!BM14</f>
        <v>16986.239999999998</v>
      </c>
      <c r="L182" s="15">
        <f>'CHIFFRE D''AFFAIRE B2B'!BN14</f>
        <v>0</v>
      </c>
      <c r="M182" s="15">
        <f>'CHIFFRE D''AFFAIRE B2B'!BO14</f>
        <v>0</v>
      </c>
      <c r="N182" s="15">
        <f>'CHIFFRE D''AFFAIRE B2B'!BP14</f>
        <v>16986.239999999998</v>
      </c>
      <c r="O182" s="100">
        <f>SUM(C182:N182)</f>
        <v>84931.199999999983</v>
      </c>
      <c r="P182" s="65"/>
    </row>
    <row r="183" spans="1:17" s="35" customFormat="1" ht="12.75" customHeight="1" x14ac:dyDescent="0.2">
      <c r="B183" s="82" t="s">
        <v>125</v>
      </c>
      <c r="C183" s="15">
        <f>'CA - Visiophonie - B2B'!BD18</f>
        <v>5320</v>
      </c>
      <c r="D183" s="15">
        <f>'CA - Visiophonie - B2B'!BE18</f>
        <v>5320</v>
      </c>
      <c r="E183" s="15">
        <f>'CA - Visiophonie - B2B'!BF18</f>
        <v>5320</v>
      </c>
      <c r="F183" s="15">
        <f>'CA - Visiophonie - B2B'!BG18</f>
        <v>5320</v>
      </c>
      <c r="G183" s="15">
        <f>'CA - Visiophonie - B2B'!BH18</f>
        <v>5320</v>
      </c>
      <c r="H183" s="15">
        <f>'CA - Visiophonie - B2B'!BI18</f>
        <v>5320</v>
      </c>
      <c r="I183" s="15">
        <f>'CA - Visiophonie - B2B'!BJ18</f>
        <v>5320</v>
      </c>
      <c r="J183" s="15">
        <f>'CA - Visiophonie - B2B'!BK18</f>
        <v>5320</v>
      </c>
      <c r="K183" s="15">
        <f>'CA - Visiophonie - B2B'!BL18</f>
        <v>5320</v>
      </c>
      <c r="L183" s="15">
        <f>'CA - Visiophonie - B2B'!BM18</f>
        <v>5320</v>
      </c>
      <c r="M183" s="15">
        <f>'CA - Visiophonie - B2B'!BN18</f>
        <v>5320</v>
      </c>
      <c r="N183" s="15">
        <f>'CA - Visiophonie - B2B'!BO18</f>
        <v>5320</v>
      </c>
      <c r="O183" s="100">
        <f>SUM(C183:N183)</f>
        <v>63840</v>
      </c>
      <c r="P183" s="65"/>
    </row>
    <row r="184" spans="1:17" s="35" customFormat="1" ht="12.75" customHeight="1" x14ac:dyDescent="0.2">
      <c r="B184" s="76" t="s">
        <v>163</v>
      </c>
      <c r="C184" s="77">
        <f t="shared" ref="C184:O184" si="69">SUM(C182:C183)</f>
        <v>5320</v>
      </c>
      <c r="D184" s="77">
        <f t="shared" si="69"/>
        <v>5320</v>
      </c>
      <c r="E184" s="77">
        <f t="shared" si="69"/>
        <v>39292.479999999996</v>
      </c>
      <c r="F184" s="77">
        <f t="shared" si="69"/>
        <v>5320</v>
      </c>
      <c r="G184" s="77">
        <f t="shared" si="69"/>
        <v>5320</v>
      </c>
      <c r="H184" s="77">
        <f t="shared" si="69"/>
        <v>22306.239999999998</v>
      </c>
      <c r="I184" s="77">
        <f t="shared" si="69"/>
        <v>5320</v>
      </c>
      <c r="J184" s="77">
        <f t="shared" si="69"/>
        <v>5320</v>
      </c>
      <c r="K184" s="77">
        <f t="shared" si="69"/>
        <v>22306.239999999998</v>
      </c>
      <c r="L184" s="77">
        <f t="shared" si="69"/>
        <v>5320</v>
      </c>
      <c r="M184" s="77">
        <f t="shared" si="69"/>
        <v>5320</v>
      </c>
      <c r="N184" s="77">
        <f t="shared" si="69"/>
        <v>22306.239999999998</v>
      </c>
      <c r="O184" s="77">
        <f t="shared" si="69"/>
        <v>148771.19999999998</v>
      </c>
      <c r="P184" s="65"/>
    </row>
    <row r="185" spans="1:17" s="35" customFormat="1" x14ac:dyDescent="0.2">
      <c r="B185" s="76" t="s">
        <v>164</v>
      </c>
      <c r="C185" s="77">
        <f t="shared" ref="C185:N185" si="70">C181+C184</f>
        <v>197618.61068799999</v>
      </c>
      <c r="D185" s="77">
        <f t="shared" si="70"/>
        <v>197618.61068799999</v>
      </c>
      <c r="E185" s="77">
        <f t="shared" si="70"/>
        <v>231591.09068799997</v>
      </c>
      <c r="F185" s="77">
        <f t="shared" si="70"/>
        <v>197618.61068799999</v>
      </c>
      <c r="G185" s="77">
        <f t="shared" si="70"/>
        <v>197618.61068799999</v>
      </c>
      <c r="H185" s="77">
        <f t="shared" si="70"/>
        <v>214604.85068799998</v>
      </c>
      <c r="I185" s="77">
        <f t="shared" si="70"/>
        <v>197618.61068799999</v>
      </c>
      <c r="J185" s="77">
        <f t="shared" si="70"/>
        <v>197618.61068799999</v>
      </c>
      <c r="K185" s="77">
        <f t="shared" si="70"/>
        <v>214604.85068799998</v>
      </c>
      <c r="L185" s="77">
        <f t="shared" si="70"/>
        <v>197618.61068799999</v>
      </c>
      <c r="M185" s="77">
        <f t="shared" si="70"/>
        <v>197618.61068799999</v>
      </c>
      <c r="N185" s="77">
        <f t="shared" si="70"/>
        <v>214604.85068799998</v>
      </c>
      <c r="O185" s="77">
        <f>SUM(C185:N185)</f>
        <v>2456354.528256</v>
      </c>
      <c r="P185" s="65"/>
    </row>
    <row r="186" spans="1:17" ht="12.75" customHeight="1" x14ac:dyDescent="0.2">
      <c r="A186" s="35"/>
      <c r="B186" s="70" t="s">
        <v>189</v>
      </c>
      <c r="O186" s="64"/>
      <c r="P186" s="65"/>
    </row>
    <row r="187" spans="1:17" ht="12.75" customHeight="1" x14ac:dyDescent="0.2">
      <c r="A187" s="35"/>
      <c r="B187" s="82" t="s">
        <v>200</v>
      </c>
      <c r="C187" s="14">
        <v>250</v>
      </c>
      <c r="D187" s="14">
        <v>250</v>
      </c>
      <c r="E187" s="14">
        <v>250</v>
      </c>
      <c r="F187" s="14">
        <v>250</v>
      </c>
      <c r="G187" s="14">
        <v>250</v>
      </c>
      <c r="H187" s="14">
        <v>250</v>
      </c>
      <c r="I187" s="14">
        <v>250</v>
      </c>
      <c r="J187" s="14">
        <v>250</v>
      </c>
      <c r="K187" s="14">
        <v>250</v>
      </c>
      <c r="L187" s="14">
        <v>250</v>
      </c>
      <c r="M187" s="14">
        <v>250</v>
      </c>
      <c r="N187" s="14">
        <v>250</v>
      </c>
      <c r="O187" s="81">
        <f>SUM(C187:N187)</f>
        <v>3000</v>
      </c>
      <c r="P187" s="65">
        <v>0.18</v>
      </c>
      <c r="Q187" s="35">
        <f>+O187*P187</f>
        <v>540</v>
      </c>
    </row>
    <row r="188" spans="1:17" ht="12.75" customHeight="1" x14ac:dyDescent="0.2">
      <c r="A188" s="35"/>
      <c r="B188" s="67" t="s">
        <v>168</v>
      </c>
      <c r="C188" s="14">
        <f t="shared" ref="C188:N188" si="71">+C143</f>
        <v>700</v>
      </c>
      <c r="D188" s="14">
        <f t="shared" si="71"/>
        <v>700</v>
      </c>
      <c r="E188" s="14">
        <f t="shared" si="71"/>
        <v>700</v>
      </c>
      <c r="F188" s="14">
        <f t="shared" si="71"/>
        <v>700</v>
      </c>
      <c r="G188" s="14">
        <f t="shared" si="71"/>
        <v>700</v>
      </c>
      <c r="H188" s="14">
        <f t="shared" si="71"/>
        <v>700</v>
      </c>
      <c r="I188" s="14">
        <f t="shared" si="71"/>
        <v>700</v>
      </c>
      <c r="J188" s="14">
        <f t="shared" si="71"/>
        <v>700</v>
      </c>
      <c r="K188" s="14">
        <f t="shared" si="71"/>
        <v>700</v>
      </c>
      <c r="L188" s="14">
        <f t="shared" si="71"/>
        <v>700</v>
      </c>
      <c r="M188" s="14">
        <f t="shared" si="71"/>
        <v>700</v>
      </c>
      <c r="N188" s="14">
        <f t="shared" si="71"/>
        <v>700</v>
      </c>
      <c r="O188" s="81">
        <f>SUM(C188:N188)</f>
        <v>8400</v>
      </c>
      <c r="P188" s="65">
        <v>0.12</v>
      </c>
      <c r="Q188" s="35">
        <f>+O188*P188</f>
        <v>1008</v>
      </c>
    </row>
    <row r="189" spans="1:17" ht="12.75" customHeight="1" x14ac:dyDescent="0.2">
      <c r="A189" s="35"/>
      <c r="B189" s="67" t="s">
        <v>167</v>
      </c>
      <c r="C189" s="14">
        <f t="shared" ref="C189:N189" si="72">+C144</f>
        <v>500</v>
      </c>
      <c r="D189" s="14">
        <f t="shared" si="72"/>
        <v>500</v>
      </c>
      <c r="E189" s="14">
        <f t="shared" si="72"/>
        <v>500</v>
      </c>
      <c r="F189" s="14">
        <f t="shared" si="72"/>
        <v>500</v>
      </c>
      <c r="G189" s="14">
        <f t="shared" si="72"/>
        <v>500</v>
      </c>
      <c r="H189" s="14">
        <f t="shared" si="72"/>
        <v>500</v>
      </c>
      <c r="I189" s="14">
        <f t="shared" si="72"/>
        <v>500</v>
      </c>
      <c r="J189" s="14">
        <f t="shared" si="72"/>
        <v>500</v>
      </c>
      <c r="K189" s="14">
        <f t="shared" si="72"/>
        <v>500</v>
      </c>
      <c r="L189" s="14">
        <f t="shared" si="72"/>
        <v>500</v>
      </c>
      <c r="M189" s="14">
        <f t="shared" si="72"/>
        <v>500</v>
      </c>
      <c r="N189" s="14">
        <f t="shared" si="72"/>
        <v>500</v>
      </c>
      <c r="O189" s="81">
        <f>SUM(C189:N189)</f>
        <v>6000</v>
      </c>
      <c r="P189" s="65">
        <v>0.12</v>
      </c>
      <c r="Q189" s="35">
        <f>+O189*P189</f>
        <v>720</v>
      </c>
    </row>
    <row r="190" spans="1:17" ht="12.75" customHeight="1" x14ac:dyDescent="0.2">
      <c r="A190" s="35"/>
      <c r="B190" s="76" t="s">
        <v>169</v>
      </c>
      <c r="C190" s="78">
        <f t="shared" ref="C190:O190" si="73">SUM(C187:C189)</f>
        <v>1450</v>
      </c>
      <c r="D190" s="78">
        <f t="shared" si="73"/>
        <v>1450</v>
      </c>
      <c r="E190" s="78">
        <f t="shared" si="73"/>
        <v>1450</v>
      </c>
      <c r="F190" s="78">
        <f t="shared" si="73"/>
        <v>1450</v>
      </c>
      <c r="G190" s="78">
        <f t="shared" si="73"/>
        <v>1450</v>
      </c>
      <c r="H190" s="78">
        <f t="shared" si="73"/>
        <v>1450</v>
      </c>
      <c r="I190" s="78">
        <f t="shared" si="73"/>
        <v>1450</v>
      </c>
      <c r="J190" s="78">
        <f t="shared" si="73"/>
        <v>1450</v>
      </c>
      <c r="K190" s="78">
        <f t="shared" si="73"/>
        <v>1450</v>
      </c>
      <c r="L190" s="78">
        <f t="shared" si="73"/>
        <v>1450</v>
      </c>
      <c r="M190" s="78">
        <f t="shared" si="73"/>
        <v>1450</v>
      </c>
      <c r="N190" s="78">
        <f t="shared" si="73"/>
        <v>1450</v>
      </c>
      <c r="O190" s="78">
        <f t="shared" si="73"/>
        <v>17400</v>
      </c>
      <c r="P190" s="78"/>
      <c r="Q190" s="78">
        <f>SUM(Q187:Q189)</f>
        <v>2268</v>
      </c>
    </row>
    <row r="191" spans="1:17" s="35" customFormat="1" ht="12.75" customHeight="1" x14ac:dyDescent="0.2">
      <c r="B191" s="82" t="s">
        <v>170</v>
      </c>
      <c r="C191" s="39">
        <f t="shared" ref="C191:N191" si="74">$O$191/12</f>
        <v>840</v>
      </c>
      <c r="D191" s="39">
        <f t="shared" si="74"/>
        <v>840</v>
      </c>
      <c r="E191" s="39">
        <f t="shared" si="74"/>
        <v>840</v>
      </c>
      <c r="F191" s="39">
        <f t="shared" si="74"/>
        <v>840</v>
      </c>
      <c r="G191" s="39">
        <f t="shared" si="74"/>
        <v>840</v>
      </c>
      <c r="H191" s="39">
        <f t="shared" si="74"/>
        <v>840</v>
      </c>
      <c r="I191" s="39">
        <f t="shared" si="74"/>
        <v>840</v>
      </c>
      <c r="J191" s="39">
        <f t="shared" si="74"/>
        <v>840</v>
      </c>
      <c r="K191" s="39">
        <f t="shared" si="74"/>
        <v>840</v>
      </c>
      <c r="L191" s="39">
        <f t="shared" si="74"/>
        <v>840</v>
      </c>
      <c r="M191" s="39">
        <f t="shared" si="74"/>
        <v>840</v>
      </c>
      <c r="N191" s="39">
        <f t="shared" si="74"/>
        <v>840</v>
      </c>
      <c r="O191" s="40">
        <f>'Frais IBM WATSON'!BI16</f>
        <v>10080</v>
      </c>
      <c r="P191" s="34"/>
      <c r="Q191" s="34"/>
    </row>
    <row r="192" spans="1:17" ht="28" x14ac:dyDescent="0.2">
      <c r="A192" s="35"/>
      <c r="B192" s="82" t="s">
        <v>171</v>
      </c>
      <c r="C192" s="40">
        <f t="shared" ref="C192:N192" si="75">$O$192/12</f>
        <v>850.56</v>
      </c>
      <c r="D192" s="40">
        <f t="shared" si="75"/>
        <v>850.56</v>
      </c>
      <c r="E192" s="40">
        <f t="shared" si="75"/>
        <v>850.56</v>
      </c>
      <c r="F192" s="40">
        <f t="shared" si="75"/>
        <v>850.56</v>
      </c>
      <c r="G192" s="40">
        <f t="shared" si="75"/>
        <v>850.56</v>
      </c>
      <c r="H192" s="40">
        <f t="shared" si="75"/>
        <v>850.56</v>
      </c>
      <c r="I192" s="40">
        <f t="shared" si="75"/>
        <v>850.56</v>
      </c>
      <c r="J192" s="40">
        <f t="shared" si="75"/>
        <v>850.56</v>
      </c>
      <c r="K192" s="40">
        <f t="shared" si="75"/>
        <v>850.56</v>
      </c>
      <c r="L192" s="40">
        <f t="shared" si="75"/>
        <v>850.56</v>
      </c>
      <c r="M192" s="40">
        <f t="shared" si="75"/>
        <v>850.56</v>
      </c>
      <c r="N192" s="40">
        <f t="shared" si="75"/>
        <v>850.56</v>
      </c>
      <c r="O192" s="40">
        <f>'Frais Readspeaker'!C7</f>
        <v>10206.719999999999</v>
      </c>
      <c r="P192" s="34"/>
      <c r="Q192" s="34"/>
    </row>
    <row r="193" spans="1:17" ht="12.75" customHeight="1" x14ac:dyDescent="0.2">
      <c r="A193" s="35"/>
      <c r="B193" s="82" t="s">
        <v>172</v>
      </c>
      <c r="C193" s="40"/>
      <c r="D193" s="40"/>
      <c r="E193" s="40">
        <f>'Frais Readspeaker'!C7*2</f>
        <v>20413.439999999999</v>
      </c>
      <c r="F193" s="40"/>
      <c r="G193" s="40"/>
      <c r="H193" s="40">
        <f>'Frais Readspeaker'!C7</f>
        <v>10206.719999999999</v>
      </c>
      <c r="I193" s="40"/>
      <c r="J193" s="40"/>
      <c r="K193" s="40">
        <f>'Frais Readspeaker'!C7</f>
        <v>10206.719999999999</v>
      </c>
      <c r="L193" s="40"/>
      <c r="M193" s="40"/>
      <c r="N193" s="40">
        <f>'Frais Readspeaker'!C7</f>
        <v>10206.719999999999</v>
      </c>
      <c r="O193" s="40">
        <f>SUM(C193:N193)</f>
        <v>51033.599999999999</v>
      </c>
      <c r="P193" s="34"/>
      <c r="Q193" s="34"/>
    </row>
    <row r="194" spans="1:17" ht="29.25" customHeight="1" x14ac:dyDescent="0.2">
      <c r="A194" s="35"/>
      <c r="B194" s="82" t="s">
        <v>173</v>
      </c>
      <c r="C194" s="39">
        <f t="shared" ref="C194:N194" si="76">C21*1.2</f>
        <v>480</v>
      </c>
      <c r="D194" s="39">
        <f t="shared" si="76"/>
        <v>480</v>
      </c>
      <c r="E194" s="39">
        <f t="shared" si="76"/>
        <v>480</v>
      </c>
      <c r="F194" s="39">
        <f t="shared" si="76"/>
        <v>480</v>
      </c>
      <c r="G194" s="39">
        <f t="shared" si="76"/>
        <v>480</v>
      </c>
      <c r="H194" s="39">
        <f t="shared" si="76"/>
        <v>480</v>
      </c>
      <c r="I194" s="39">
        <f t="shared" si="76"/>
        <v>480</v>
      </c>
      <c r="J194" s="39">
        <f t="shared" si="76"/>
        <v>480</v>
      </c>
      <c r="K194" s="39">
        <f t="shared" si="76"/>
        <v>480</v>
      </c>
      <c r="L194" s="39">
        <f t="shared" si="76"/>
        <v>480</v>
      </c>
      <c r="M194" s="39">
        <f t="shared" si="76"/>
        <v>480</v>
      </c>
      <c r="N194" s="39">
        <f t="shared" si="76"/>
        <v>480</v>
      </c>
      <c r="O194" s="39">
        <f>SUM(C194:N194)</f>
        <v>5760</v>
      </c>
      <c r="P194" s="34"/>
      <c r="Q194" s="34"/>
    </row>
    <row r="195" spans="1:17" ht="29.25" customHeight="1" x14ac:dyDescent="0.2">
      <c r="A195" s="35"/>
      <c r="B195" s="82" t="s">
        <v>201</v>
      </c>
      <c r="C195" s="39">
        <f t="shared" ref="C195:N195" si="77">$O$195/12</f>
        <v>6250</v>
      </c>
      <c r="D195" s="39">
        <f t="shared" si="77"/>
        <v>6250</v>
      </c>
      <c r="E195" s="39">
        <f t="shared" si="77"/>
        <v>6250</v>
      </c>
      <c r="F195" s="39">
        <f t="shared" si="77"/>
        <v>6250</v>
      </c>
      <c r="G195" s="39">
        <f t="shared" si="77"/>
        <v>6250</v>
      </c>
      <c r="H195" s="39">
        <f t="shared" si="77"/>
        <v>6250</v>
      </c>
      <c r="I195" s="39">
        <f t="shared" si="77"/>
        <v>6250</v>
      </c>
      <c r="J195" s="39">
        <f t="shared" si="77"/>
        <v>6250</v>
      </c>
      <c r="K195" s="39">
        <f t="shared" si="77"/>
        <v>6250</v>
      </c>
      <c r="L195" s="39">
        <f t="shared" si="77"/>
        <v>6250</v>
      </c>
      <c r="M195" s="39">
        <f t="shared" si="77"/>
        <v>6250</v>
      </c>
      <c r="N195" s="39">
        <f t="shared" si="77"/>
        <v>6250</v>
      </c>
      <c r="O195" s="39">
        <f>'Invest-Amort et TVA'!D6*0.15</f>
        <v>75000</v>
      </c>
      <c r="P195" s="34"/>
      <c r="Q195" s="34"/>
    </row>
    <row r="196" spans="1:17" ht="12.75" customHeight="1" x14ac:dyDescent="0.2">
      <c r="A196" s="35"/>
      <c r="B196" s="82" t="s">
        <v>174</v>
      </c>
      <c r="C196" s="42">
        <v>150</v>
      </c>
      <c r="D196" s="42">
        <v>150</v>
      </c>
      <c r="E196" s="42">
        <v>150</v>
      </c>
      <c r="F196" s="42">
        <v>150</v>
      </c>
      <c r="G196" s="42">
        <v>150</v>
      </c>
      <c r="H196" s="42">
        <v>150</v>
      </c>
      <c r="I196" s="42">
        <v>150</v>
      </c>
      <c r="J196" s="42">
        <v>150</v>
      </c>
      <c r="K196" s="42">
        <v>150</v>
      </c>
      <c r="L196" s="42">
        <v>150</v>
      </c>
      <c r="M196" s="42">
        <v>150</v>
      </c>
      <c r="N196" s="42">
        <v>150</v>
      </c>
      <c r="O196" s="81">
        <f t="shared" ref="O196:O202" si="78">SUM(C196:N196)</f>
        <v>1800</v>
      </c>
      <c r="P196" s="34"/>
      <c r="Q196" s="34"/>
    </row>
    <row r="197" spans="1:17" ht="12.75" customHeight="1" x14ac:dyDescent="0.2">
      <c r="A197" s="35"/>
      <c r="B197" s="82" t="s">
        <v>212</v>
      </c>
      <c r="C197" s="42">
        <v>100</v>
      </c>
      <c r="D197" s="42">
        <v>100</v>
      </c>
      <c r="E197" s="42">
        <v>100</v>
      </c>
      <c r="F197" s="42">
        <v>100</v>
      </c>
      <c r="G197" s="42">
        <v>100</v>
      </c>
      <c r="H197" s="42">
        <v>100</v>
      </c>
      <c r="I197" s="42">
        <v>100</v>
      </c>
      <c r="J197" s="42">
        <v>100</v>
      </c>
      <c r="K197" s="42">
        <v>100</v>
      </c>
      <c r="L197" s="42">
        <v>100</v>
      </c>
      <c r="M197" s="42">
        <v>100</v>
      </c>
      <c r="N197" s="42">
        <v>100</v>
      </c>
      <c r="O197" s="81">
        <f t="shared" si="78"/>
        <v>1200</v>
      </c>
      <c r="P197" s="34"/>
      <c r="Q197" s="34"/>
    </row>
    <row r="198" spans="1:17" s="35" customFormat="1" ht="12.75" customHeight="1" x14ac:dyDescent="0.2">
      <c r="B198" s="82" t="s">
        <v>203</v>
      </c>
      <c r="C198" s="42">
        <f>+N153*1.05</f>
        <v>4851</v>
      </c>
      <c r="D198" s="14">
        <f t="shared" ref="D198:N198" si="79">C198</f>
        <v>4851</v>
      </c>
      <c r="E198" s="14">
        <f t="shared" si="79"/>
        <v>4851</v>
      </c>
      <c r="F198" s="14">
        <f t="shared" si="79"/>
        <v>4851</v>
      </c>
      <c r="G198" s="14">
        <f t="shared" si="79"/>
        <v>4851</v>
      </c>
      <c r="H198" s="14">
        <f t="shared" si="79"/>
        <v>4851</v>
      </c>
      <c r="I198" s="14">
        <f t="shared" si="79"/>
        <v>4851</v>
      </c>
      <c r="J198" s="14">
        <f t="shared" si="79"/>
        <v>4851</v>
      </c>
      <c r="K198" s="14">
        <f t="shared" si="79"/>
        <v>4851</v>
      </c>
      <c r="L198" s="14">
        <f t="shared" si="79"/>
        <v>4851</v>
      </c>
      <c r="M198" s="14">
        <f t="shared" si="79"/>
        <v>4851</v>
      </c>
      <c r="N198" s="14">
        <f t="shared" si="79"/>
        <v>4851</v>
      </c>
      <c r="O198" s="81">
        <f t="shared" si="78"/>
        <v>58212</v>
      </c>
      <c r="P198" s="65">
        <v>0.12</v>
      </c>
      <c r="Q198" s="35">
        <f>+O198*P198</f>
        <v>6985.44</v>
      </c>
    </row>
    <row r="199" spans="1:17" ht="12.75" customHeight="1" x14ac:dyDescent="0.2">
      <c r="A199" s="35"/>
      <c r="B199" s="82" t="s">
        <v>204</v>
      </c>
      <c r="C199" s="14">
        <f>+N154</f>
        <v>300</v>
      </c>
      <c r="D199" s="14">
        <f t="shared" ref="D199:N199" si="80">+C199</f>
        <v>300</v>
      </c>
      <c r="E199" s="14">
        <f t="shared" si="80"/>
        <v>300</v>
      </c>
      <c r="F199" s="14">
        <f t="shared" si="80"/>
        <v>300</v>
      </c>
      <c r="G199" s="14">
        <f t="shared" si="80"/>
        <v>300</v>
      </c>
      <c r="H199" s="14">
        <f t="shared" si="80"/>
        <v>300</v>
      </c>
      <c r="I199" s="14">
        <f t="shared" si="80"/>
        <v>300</v>
      </c>
      <c r="J199" s="14">
        <f t="shared" si="80"/>
        <v>300</v>
      </c>
      <c r="K199" s="14">
        <f t="shared" si="80"/>
        <v>300</v>
      </c>
      <c r="L199" s="14">
        <f t="shared" si="80"/>
        <v>300</v>
      </c>
      <c r="M199" s="14">
        <f t="shared" si="80"/>
        <v>300</v>
      </c>
      <c r="N199" s="14">
        <f t="shared" si="80"/>
        <v>300</v>
      </c>
      <c r="O199" s="81">
        <f t="shared" si="78"/>
        <v>3600</v>
      </c>
      <c r="P199" s="65">
        <v>0.12</v>
      </c>
      <c r="Q199" s="35">
        <f>+O199*P199</f>
        <v>432</v>
      </c>
    </row>
    <row r="200" spans="1:17" ht="12.75" customHeight="1" x14ac:dyDescent="0.2">
      <c r="A200" s="35"/>
      <c r="B200" s="67" t="s">
        <v>178</v>
      </c>
      <c r="C200" s="14">
        <f>+N155</f>
        <v>1000</v>
      </c>
      <c r="D200" s="14">
        <f t="shared" ref="D200:N200" si="81">+C200</f>
        <v>1000</v>
      </c>
      <c r="E200" s="14">
        <f t="shared" si="81"/>
        <v>1000</v>
      </c>
      <c r="F200" s="14">
        <f t="shared" si="81"/>
        <v>1000</v>
      </c>
      <c r="G200" s="14">
        <f t="shared" si="81"/>
        <v>1000</v>
      </c>
      <c r="H200" s="14">
        <f t="shared" si="81"/>
        <v>1000</v>
      </c>
      <c r="I200" s="14">
        <f t="shared" si="81"/>
        <v>1000</v>
      </c>
      <c r="J200" s="14">
        <f t="shared" si="81"/>
        <v>1000</v>
      </c>
      <c r="K200" s="14">
        <f t="shared" si="81"/>
        <v>1000</v>
      </c>
      <c r="L200" s="14">
        <f t="shared" si="81"/>
        <v>1000</v>
      </c>
      <c r="M200" s="14">
        <f t="shared" si="81"/>
        <v>1000</v>
      </c>
      <c r="N200" s="14">
        <f t="shared" si="81"/>
        <v>1000</v>
      </c>
      <c r="O200" s="81">
        <f t="shared" si="78"/>
        <v>12000</v>
      </c>
      <c r="P200" s="65">
        <v>0.18</v>
      </c>
      <c r="Q200" s="35">
        <f>+O200*P200</f>
        <v>2160</v>
      </c>
    </row>
    <row r="201" spans="1:17" ht="12.75" customHeight="1" x14ac:dyDescent="0.2">
      <c r="A201" s="35"/>
      <c r="B201" s="82" t="s">
        <v>193</v>
      </c>
      <c r="C201" s="14">
        <v>1000</v>
      </c>
      <c r="D201" s="14"/>
      <c r="E201" s="14">
        <v>0</v>
      </c>
      <c r="F201" s="14"/>
      <c r="G201" s="14"/>
      <c r="H201" s="14"/>
      <c r="I201" s="14"/>
      <c r="J201" s="14"/>
      <c r="K201" s="14"/>
      <c r="L201" s="14"/>
      <c r="M201" s="14"/>
      <c r="N201" s="14"/>
      <c r="O201" s="81">
        <f t="shared" si="78"/>
        <v>1000</v>
      </c>
      <c r="P201" s="65">
        <v>0.18</v>
      </c>
      <c r="Q201" s="35">
        <f>+O201*P201</f>
        <v>180</v>
      </c>
    </row>
    <row r="202" spans="1:17" ht="12.75" customHeight="1" x14ac:dyDescent="0.2">
      <c r="A202" s="35"/>
      <c r="B202" s="82" t="s">
        <v>213</v>
      </c>
      <c r="C202" s="14"/>
      <c r="D202" s="14"/>
      <c r="E202" s="14">
        <f>'Plan de communication'!R16</f>
        <v>3550</v>
      </c>
      <c r="F202" s="14"/>
      <c r="G202" s="14"/>
      <c r="H202" s="14">
        <f>'Plan de communication'!S16</f>
        <v>5350</v>
      </c>
      <c r="I202" s="14"/>
      <c r="J202" s="14"/>
      <c r="K202" s="14">
        <f>'Plan de communication'!T16</f>
        <v>3550</v>
      </c>
      <c r="L202" s="14"/>
      <c r="M202" s="14"/>
      <c r="N202" s="14">
        <f>'Plan de communication'!U16</f>
        <v>8550</v>
      </c>
      <c r="O202" s="81">
        <f t="shared" si="78"/>
        <v>21000</v>
      </c>
      <c r="P202" s="65">
        <v>0.12</v>
      </c>
      <c r="Q202" s="35">
        <f>+O202*P202</f>
        <v>2520</v>
      </c>
    </row>
    <row r="203" spans="1:17" ht="12.75" customHeight="1" x14ac:dyDescent="0.2">
      <c r="A203" s="35"/>
      <c r="B203" s="76" t="s">
        <v>181</v>
      </c>
      <c r="C203" s="77">
        <f t="shared" ref="C203:O203" si="82">SUM(C191:C202)</f>
        <v>15821.56</v>
      </c>
      <c r="D203" s="77">
        <f t="shared" si="82"/>
        <v>14821.56</v>
      </c>
      <c r="E203" s="77">
        <f t="shared" si="82"/>
        <v>38785</v>
      </c>
      <c r="F203" s="77">
        <f t="shared" si="82"/>
        <v>14821.56</v>
      </c>
      <c r="G203" s="77">
        <f t="shared" si="82"/>
        <v>14821.56</v>
      </c>
      <c r="H203" s="77">
        <f t="shared" si="82"/>
        <v>30378.28</v>
      </c>
      <c r="I203" s="77">
        <f t="shared" si="82"/>
        <v>14821.56</v>
      </c>
      <c r="J203" s="77">
        <f t="shared" si="82"/>
        <v>14821.56</v>
      </c>
      <c r="K203" s="77">
        <f t="shared" si="82"/>
        <v>28578.28</v>
      </c>
      <c r="L203" s="77">
        <f t="shared" si="82"/>
        <v>14821.56</v>
      </c>
      <c r="M203" s="77">
        <f t="shared" si="82"/>
        <v>14821.56</v>
      </c>
      <c r="N203" s="77">
        <f t="shared" si="82"/>
        <v>33578.28</v>
      </c>
      <c r="O203" s="77">
        <f t="shared" si="82"/>
        <v>250892.32</v>
      </c>
      <c r="P203" s="65"/>
      <c r="Q203" s="78">
        <f>SUM(Q198:Q202)</f>
        <v>12277.439999999999</v>
      </c>
    </row>
    <row r="204" spans="1:17" ht="12.75" customHeight="1" x14ac:dyDescent="0.2">
      <c r="A204" s="35"/>
      <c r="B204" s="76" t="s">
        <v>194</v>
      </c>
      <c r="C204" s="77">
        <f t="shared" ref="C204:N204" si="83">$O$204/12</f>
        <v>63102.840749999996</v>
      </c>
      <c r="D204" s="77">
        <f t="shared" si="83"/>
        <v>63102.840749999996</v>
      </c>
      <c r="E204" s="77">
        <f t="shared" si="83"/>
        <v>63102.840749999996</v>
      </c>
      <c r="F204" s="77">
        <f t="shared" si="83"/>
        <v>63102.840749999996</v>
      </c>
      <c r="G204" s="77">
        <f t="shared" si="83"/>
        <v>63102.840749999996</v>
      </c>
      <c r="H204" s="77">
        <f t="shared" si="83"/>
        <v>63102.840749999996</v>
      </c>
      <c r="I204" s="77">
        <f t="shared" si="83"/>
        <v>63102.840749999996</v>
      </c>
      <c r="J204" s="77">
        <f t="shared" si="83"/>
        <v>63102.840749999996</v>
      </c>
      <c r="K204" s="77">
        <f t="shared" si="83"/>
        <v>63102.840749999996</v>
      </c>
      <c r="L204" s="77">
        <f t="shared" si="83"/>
        <v>63102.840749999996</v>
      </c>
      <c r="M204" s="77">
        <f t="shared" si="83"/>
        <v>63102.840749999996</v>
      </c>
      <c r="N204" s="77">
        <f t="shared" si="83"/>
        <v>63102.840749999996</v>
      </c>
      <c r="O204" s="78">
        <f>'Budget RH en nombre TTC'!K49</f>
        <v>757234.08899999992</v>
      </c>
      <c r="P204" s="65"/>
      <c r="Q204" s="87"/>
    </row>
    <row r="205" spans="1:17" ht="28.5" customHeight="1" x14ac:dyDescent="0.2">
      <c r="A205" s="35"/>
      <c r="B205" s="88" t="s">
        <v>183</v>
      </c>
      <c r="C205" s="89">
        <f t="shared" ref="C205:O205" si="84">C190+C203+C204</f>
        <v>80374.400750000001</v>
      </c>
      <c r="D205" s="89">
        <f t="shared" si="84"/>
        <v>79374.400750000001</v>
      </c>
      <c r="E205" s="89">
        <f t="shared" si="84"/>
        <v>103337.84075</v>
      </c>
      <c r="F205" s="89">
        <f t="shared" si="84"/>
        <v>79374.400750000001</v>
      </c>
      <c r="G205" s="89">
        <f t="shared" si="84"/>
        <v>79374.400750000001</v>
      </c>
      <c r="H205" s="89">
        <f t="shared" si="84"/>
        <v>94931.120750000002</v>
      </c>
      <c r="I205" s="89">
        <f t="shared" si="84"/>
        <v>79374.400750000001</v>
      </c>
      <c r="J205" s="89">
        <f t="shared" si="84"/>
        <v>79374.400750000001</v>
      </c>
      <c r="K205" s="89">
        <f t="shared" si="84"/>
        <v>93131.120750000002</v>
      </c>
      <c r="L205" s="89">
        <f t="shared" si="84"/>
        <v>79374.400750000001</v>
      </c>
      <c r="M205" s="89">
        <f t="shared" si="84"/>
        <v>79374.400750000001</v>
      </c>
      <c r="N205" s="89">
        <f t="shared" si="84"/>
        <v>98131.120750000002</v>
      </c>
      <c r="O205" s="89">
        <f t="shared" si="84"/>
        <v>1025526.409</v>
      </c>
      <c r="P205" s="65"/>
    </row>
    <row r="206" spans="1:17" ht="12.75" customHeight="1" x14ac:dyDescent="0.2">
      <c r="A206" s="35"/>
      <c r="B206" s="82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68"/>
      <c r="P206" s="65"/>
    </row>
  </sheetData>
  <mergeCells count="6">
    <mergeCell ref="B174:L174"/>
    <mergeCell ref="B1:L1"/>
    <mergeCell ref="A14:A16"/>
    <mergeCell ref="B44:L44"/>
    <mergeCell ref="B88:L88"/>
    <mergeCell ref="B127:L127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</sheetPr>
  <dimension ref="A1:Q198"/>
  <sheetViews>
    <sheetView topLeftCell="A19" zoomScaleNormal="100" workbookViewId="0">
      <selection activeCell="G32" sqref="G32"/>
    </sheetView>
  </sheetViews>
  <sheetFormatPr baseColWidth="10" defaultColWidth="8.83203125" defaultRowHeight="15" x14ac:dyDescent="0.2"/>
  <cols>
    <col min="1" max="1" width="10.6640625" customWidth="1"/>
    <col min="2" max="2" width="25.33203125" style="63" customWidth="1"/>
    <col min="3" max="10" width="12.5" customWidth="1"/>
    <col min="11" max="11" width="10.6640625" customWidth="1"/>
    <col min="12" max="12" width="12.5" customWidth="1"/>
    <col min="13" max="13" width="10.5" customWidth="1"/>
    <col min="14" max="14" width="10.6640625" customWidth="1"/>
    <col min="15" max="15" width="13.6640625" customWidth="1"/>
    <col min="16" max="1025" width="9.1640625" customWidth="1"/>
  </cols>
  <sheetData>
    <row r="1" spans="1:17" s="35" customFormat="1" ht="31.5" customHeight="1" x14ac:dyDescent="0.2">
      <c r="B1" s="211" t="s">
        <v>214</v>
      </c>
      <c r="C1" s="211"/>
      <c r="D1" s="211"/>
      <c r="E1" s="211"/>
      <c r="F1" s="211"/>
      <c r="G1" s="211"/>
      <c r="H1" s="211"/>
      <c r="I1" s="211"/>
      <c r="J1" s="211"/>
      <c r="K1" s="211"/>
      <c r="L1" s="211"/>
      <c r="O1" s="64"/>
      <c r="P1" s="65"/>
    </row>
    <row r="2" spans="1:17" s="35" customFormat="1" ht="12.75" customHeight="1" x14ac:dyDescent="0.2">
      <c r="B2" s="70" t="s">
        <v>215</v>
      </c>
      <c r="C2" s="112">
        <f>'Invest-Amort et TVA'!D36</f>
        <v>662550</v>
      </c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64"/>
      <c r="P2" s="65"/>
    </row>
    <row r="3" spans="1:17" ht="12.75" customHeight="1" x14ac:dyDescent="0.2">
      <c r="A3" s="35"/>
      <c r="B3" s="67"/>
      <c r="C3" s="39" t="s">
        <v>145</v>
      </c>
      <c r="D3" s="39" t="s">
        <v>146</v>
      </c>
      <c r="E3" s="39" t="s">
        <v>147</v>
      </c>
      <c r="F3" s="39" t="s">
        <v>148</v>
      </c>
      <c r="G3" s="39" t="s">
        <v>149</v>
      </c>
      <c r="H3" s="39" t="s">
        <v>150</v>
      </c>
      <c r="I3" s="39" t="s">
        <v>151</v>
      </c>
      <c r="J3" s="39" t="s">
        <v>152</v>
      </c>
      <c r="K3" s="39" t="s">
        <v>153</v>
      </c>
      <c r="L3" s="39" t="s">
        <v>154</v>
      </c>
      <c r="M3" s="39" t="s">
        <v>155</v>
      </c>
      <c r="N3" s="39" t="s">
        <v>156</v>
      </c>
      <c r="O3" s="68" t="s">
        <v>157</v>
      </c>
      <c r="P3" s="69"/>
    </row>
    <row r="4" spans="1:17" ht="12.75" customHeight="1" x14ac:dyDescent="0.2">
      <c r="A4" s="35"/>
      <c r="B4" s="70" t="s">
        <v>158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2"/>
      <c r="P4" s="65"/>
    </row>
    <row r="5" spans="1:17" s="35" customFormat="1" ht="12.75" customHeight="1" x14ac:dyDescent="0.2">
      <c r="B5" s="73" t="s">
        <v>159</v>
      </c>
      <c r="C5" s="74">
        <f>'Charges d''exploitation'!C5</f>
        <v>7020</v>
      </c>
      <c r="D5" s="74">
        <f>'Charges d''exploitation'!D5</f>
        <v>14820</v>
      </c>
      <c r="E5" s="74">
        <f>'Charges d''exploitation'!E5</f>
        <v>22230</v>
      </c>
      <c r="F5" s="74">
        <f>'Charges d''exploitation'!F5</f>
        <v>37050</v>
      </c>
      <c r="G5" s="74">
        <f>'Charges d''exploitation'!G5</f>
        <v>51870</v>
      </c>
      <c r="H5" s="74">
        <f>'Charges d''exploitation'!H5</f>
        <v>62985</v>
      </c>
      <c r="I5" s="74">
        <f>'Charges d''exploitation'!I5</f>
        <v>74100</v>
      </c>
      <c r="J5" s="74">
        <f>'Charges d''exploitation'!J5</f>
        <v>74100</v>
      </c>
      <c r="K5" s="74">
        <f>'Charges d''exploitation'!K5</f>
        <v>74100</v>
      </c>
      <c r="L5" s="74">
        <f>'Charges d''exploitation'!L5</f>
        <v>74100</v>
      </c>
      <c r="M5" s="74">
        <f>'Charges d''exploitation'!M5</f>
        <v>74100</v>
      </c>
      <c r="N5" s="74">
        <f>'Charges d''exploitation'!N5</f>
        <v>74100</v>
      </c>
      <c r="O5" s="75">
        <f>SUM(C5:N5)</f>
        <v>640575</v>
      </c>
      <c r="P5" s="65"/>
    </row>
    <row r="6" spans="1:17" s="35" customFormat="1" ht="12.75" customHeight="1" x14ac:dyDescent="0.2">
      <c r="B6" s="73" t="s">
        <v>160</v>
      </c>
      <c r="C6" s="74">
        <f>'Charges d''exploitation'!C6</f>
        <v>3094.1520480000008</v>
      </c>
      <c r="D6" s="74">
        <f>'Charges d''exploitation'!D6</f>
        <v>6188.3040960000017</v>
      </c>
      <c r="E6" s="74">
        <f>'Charges d''exploitation'!E6</f>
        <v>9282.4561440000016</v>
      </c>
      <c r="F6" s="74">
        <f>'Charges d''exploitation'!F6</f>
        <v>15470.760240000001</v>
      </c>
      <c r="G6" s="74">
        <f>'Charges d''exploitation'!G6</f>
        <v>21659.064336000003</v>
      </c>
      <c r="H6" s="74">
        <f>'Charges d''exploitation'!H6</f>
        <v>26300.292408000005</v>
      </c>
      <c r="I6" s="74">
        <f>'Charges d''exploitation'!I6</f>
        <v>30941.520480000003</v>
      </c>
      <c r="J6" s="74">
        <f>'Charges d''exploitation'!J6</f>
        <v>30941.520480000003</v>
      </c>
      <c r="K6" s="74">
        <f>'Charges d''exploitation'!K6</f>
        <v>30941.520480000003</v>
      </c>
      <c r="L6" s="74">
        <f>'Charges d''exploitation'!L6</f>
        <v>30941.520480000003</v>
      </c>
      <c r="M6" s="74">
        <f>'Charges d''exploitation'!M6</f>
        <v>30941.520480000003</v>
      </c>
      <c r="N6" s="74">
        <f>'Charges d''exploitation'!N6</f>
        <v>30941.520480000003</v>
      </c>
      <c r="O6" s="75">
        <f>SUM(C6:N6)</f>
        <v>267644.15215200005</v>
      </c>
      <c r="P6" s="65"/>
    </row>
    <row r="7" spans="1:17" s="35" customFormat="1" ht="12.75" customHeight="1" x14ac:dyDescent="0.2">
      <c r="B7" s="73" t="s">
        <v>161</v>
      </c>
      <c r="C7" s="74">
        <f>'Charges d''exploitation'!C7</f>
        <v>2280</v>
      </c>
      <c r="D7" s="74">
        <f>'Charges d''exploitation'!D7</f>
        <v>4560</v>
      </c>
      <c r="E7" s="74">
        <f>'Charges d''exploitation'!E7</f>
        <v>6840</v>
      </c>
      <c r="F7" s="74">
        <f>'Charges d''exploitation'!F7</f>
        <v>11400</v>
      </c>
      <c r="G7" s="74">
        <f>'Charges d''exploitation'!G7</f>
        <v>15960</v>
      </c>
      <c r="H7" s="74">
        <f>'Charges d''exploitation'!H7</f>
        <v>19380</v>
      </c>
      <c r="I7" s="74">
        <f>'Charges d''exploitation'!I7</f>
        <v>22800</v>
      </c>
      <c r="J7" s="74">
        <f>'Charges d''exploitation'!J7</f>
        <v>22800</v>
      </c>
      <c r="K7" s="74">
        <f>'Charges d''exploitation'!K7</f>
        <v>22800</v>
      </c>
      <c r="L7" s="74">
        <f>'Charges d''exploitation'!L7</f>
        <v>22800</v>
      </c>
      <c r="M7" s="74">
        <f>'Charges d''exploitation'!M7</f>
        <v>22800</v>
      </c>
      <c r="N7" s="74">
        <f>'Charges d''exploitation'!N7</f>
        <v>22800</v>
      </c>
      <c r="O7" s="75">
        <f>SUM(C7:N7)</f>
        <v>197220</v>
      </c>
      <c r="P7" s="65"/>
    </row>
    <row r="8" spans="1:17" s="35" customFormat="1" ht="12.75" customHeight="1" x14ac:dyDescent="0.2">
      <c r="A8" s="16"/>
      <c r="B8" s="76" t="s">
        <v>162</v>
      </c>
      <c r="C8" s="77">
        <f t="shared" ref="C8:O8" si="0">SUM(C5:C7)</f>
        <v>12394.152048</v>
      </c>
      <c r="D8" s="77">
        <f t="shared" si="0"/>
        <v>25568.304096</v>
      </c>
      <c r="E8" s="77">
        <f t="shared" si="0"/>
        <v>38352.456144000003</v>
      </c>
      <c r="F8" s="77">
        <f t="shared" si="0"/>
        <v>63920.760240000003</v>
      </c>
      <c r="G8" s="77">
        <f t="shared" si="0"/>
        <v>89489.06433600001</v>
      </c>
      <c r="H8" s="77">
        <f t="shared" si="0"/>
        <v>108665.29240800001</v>
      </c>
      <c r="I8" s="77">
        <f t="shared" si="0"/>
        <v>127841.52048000001</v>
      </c>
      <c r="J8" s="77">
        <f t="shared" si="0"/>
        <v>127841.52048000001</v>
      </c>
      <c r="K8" s="77">
        <f t="shared" si="0"/>
        <v>127841.52048000001</v>
      </c>
      <c r="L8" s="77">
        <f t="shared" si="0"/>
        <v>127841.52048000001</v>
      </c>
      <c r="M8" s="77">
        <f t="shared" si="0"/>
        <v>127841.52048000001</v>
      </c>
      <c r="N8" s="77">
        <f t="shared" si="0"/>
        <v>127841.52048000001</v>
      </c>
      <c r="O8" s="77">
        <f t="shared" si="0"/>
        <v>1105439.152152</v>
      </c>
      <c r="P8" s="78"/>
      <c r="Q8" s="78"/>
    </row>
    <row r="9" spans="1:17" ht="12.75" customHeight="1" x14ac:dyDescent="0.2">
      <c r="B9" s="73" t="s">
        <v>124</v>
      </c>
      <c r="C9" s="74">
        <f>'Charges d''exploitation'!C9</f>
        <v>0</v>
      </c>
      <c r="D9" s="74">
        <f>'Charges d''exploitation'!D9</f>
        <v>0</v>
      </c>
      <c r="E9" s="74">
        <f>'Charges d''exploitation'!E9</f>
        <v>0</v>
      </c>
      <c r="F9" s="74">
        <f>'Charges d''exploitation'!F9</f>
        <v>0</v>
      </c>
      <c r="G9" s="74">
        <f>'Charges d''exploitation'!G9</f>
        <v>0</v>
      </c>
      <c r="H9" s="74">
        <f>'Charges d''exploitation'!H9</f>
        <v>0</v>
      </c>
      <c r="I9" s="74">
        <f>'Charges d''exploitation'!I9</f>
        <v>0</v>
      </c>
      <c r="J9" s="74">
        <f>'Charges d''exploitation'!J9</f>
        <v>0</v>
      </c>
      <c r="K9" s="74">
        <f>'Charges d''exploitation'!K9</f>
        <v>20342.880000000005</v>
      </c>
      <c r="L9" s="74">
        <f>'Charges d''exploitation'!L9</f>
        <v>0</v>
      </c>
      <c r="M9" s="74">
        <f>'Charges d''exploitation'!M9</f>
        <v>0</v>
      </c>
      <c r="N9" s="74">
        <f>'Charges d''exploitation'!N9</f>
        <v>20342.880000000005</v>
      </c>
      <c r="O9" s="75">
        <f>SUM(C9:N9)</f>
        <v>40685.760000000009</v>
      </c>
      <c r="P9" s="65"/>
    </row>
    <row r="10" spans="1:17" ht="12.75" customHeight="1" x14ac:dyDescent="0.2">
      <c r="B10" s="73" t="s">
        <v>125</v>
      </c>
      <c r="C10" s="74">
        <f>'Charges d''exploitation'!C10</f>
        <v>332.5</v>
      </c>
      <c r="D10" s="74">
        <f>'Charges d''exploitation'!D10</f>
        <v>665</v>
      </c>
      <c r="E10" s="74">
        <f>'Charges d''exploitation'!E10</f>
        <v>997.5</v>
      </c>
      <c r="F10" s="74">
        <f>'Charges d''exploitation'!F10</f>
        <v>1662.5</v>
      </c>
      <c r="G10" s="74">
        <f>'Charges d''exploitation'!G10</f>
        <v>2327.5</v>
      </c>
      <c r="H10" s="74">
        <f>'Charges d''exploitation'!H10</f>
        <v>2826.25</v>
      </c>
      <c r="I10" s="74">
        <f>'Charges d''exploitation'!I10</f>
        <v>3325</v>
      </c>
      <c r="J10" s="74">
        <f>'Charges d''exploitation'!J10</f>
        <v>3325</v>
      </c>
      <c r="K10" s="74">
        <f>'Charges d''exploitation'!K10</f>
        <v>3325</v>
      </c>
      <c r="L10" s="74">
        <f>'Charges d''exploitation'!L10</f>
        <v>3325</v>
      </c>
      <c r="M10" s="74">
        <f>'Charges d''exploitation'!M10</f>
        <v>3325</v>
      </c>
      <c r="N10" s="74">
        <f>'Charges d''exploitation'!N10</f>
        <v>3325</v>
      </c>
      <c r="O10" s="75">
        <f>SUM(C10:N10)</f>
        <v>28761.25</v>
      </c>
      <c r="P10" s="65"/>
    </row>
    <row r="11" spans="1:17" ht="12.75" customHeight="1" x14ac:dyDescent="0.2">
      <c r="A11" s="16"/>
      <c r="B11" s="76" t="s">
        <v>163</v>
      </c>
      <c r="C11" s="77">
        <f t="shared" ref="C11:O11" si="1">SUM(C9:C10)</f>
        <v>332.5</v>
      </c>
      <c r="D11" s="77">
        <f t="shared" si="1"/>
        <v>665</v>
      </c>
      <c r="E11" s="77">
        <f t="shared" si="1"/>
        <v>997.5</v>
      </c>
      <c r="F11" s="77">
        <f t="shared" si="1"/>
        <v>1662.5</v>
      </c>
      <c r="G11" s="77">
        <f t="shared" si="1"/>
        <v>2327.5</v>
      </c>
      <c r="H11" s="77">
        <f t="shared" si="1"/>
        <v>2826.25</v>
      </c>
      <c r="I11" s="77">
        <f t="shared" si="1"/>
        <v>3325</v>
      </c>
      <c r="J11" s="77">
        <f t="shared" si="1"/>
        <v>3325</v>
      </c>
      <c r="K11" s="77">
        <f t="shared" si="1"/>
        <v>23667.880000000005</v>
      </c>
      <c r="L11" s="77">
        <f t="shared" si="1"/>
        <v>3325</v>
      </c>
      <c r="M11" s="77">
        <f t="shared" si="1"/>
        <v>3325</v>
      </c>
      <c r="N11" s="77">
        <f t="shared" si="1"/>
        <v>23667.880000000005</v>
      </c>
      <c r="O11" s="77">
        <f t="shared" si="1"/>
        <v>69447.010000000009</v>
      </c>
      <c r="P11" s="78"/>
      <c r="Q11" s="78"/>
    </row>
    <row r="12" spans="1:17" ht="30" customHeight="1" x14ac:dyDescent="0.2">
      <c r="A12" s="16"/>
      <c r="B12" s="76" t="s">
        <v>164</v>
      </c>
      <c r="C12" s="77">
        <f t="shared" ref="C12:O12" si="2">SUM(C8+C11)</f>
        <v>12726.652048</v>
      </c>
      <c r="D12" s="77">
        <f t="shared" si="2"/>
        <v>26233.304096</v>
      </c>
      <c r="E12" s="77">
        <f t="shared" si="2"/>
        <v>39349.956144000003</v>
      </c>
      <c r="F12" s="77">
        <f t="shared" si="2"/>
        <v>65583.260240000003</v>
      </c>
      <c r="G12" s="77">
        <f t="shared" si="2"/>
        <v>91816.56433600001</v>
      </c>
      <c r="H12" s="77">
        <f t="shared" si="2"/>
        <v>111491.54240800001</v>
      </c>
      <c r="I12" s="77">
        <f t="shared" si="2"/>
        <v>131166.52048000001</v>
      </c>
      <c r="J12" s="77">
        <f t="shared" si="2"/>
        <v>131166.52048000001</v>
      </c>
      <c r="K12" s="77">
        <f t="shared" si="2"/>
        <v>151509.40048000001</v>
      </c>
      <c r="L12" s="77">
        <f t="shared" si="2"/>
        <v>131166.52048000001</v>
      </c>
      <c r="M12" s="77">
        <f t="shared" si="2"/>
        <v>131166.52048000001</v>
      </c>
      <c r="N12" s="77">
        <f t="shared" si="2"/>
        <v>151509.40048000001</v>
      </c>
      <c r="O12" s="77">
        <f t="shared" si="2"/>
        <v>1174886.162152</v>
      </c>
      <c r="P12" s="78"/>
      <c r="Q12" s="78"/>
    </row>
    <row r="13" spans="1:17" ht="17.25" customHeight="1" x14ac:dyDescent="0.2">
      <c r="B13" s="70" t="s">
        <v>189</v>
      </c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80"/>
      <c r="P13" s="65"/>
    </row>
    <row r="14" spans="1:17" ht="12.75" customHeight="1" x14ac:dyDescent="0.2">
      <c r="A14" s="212" t="s">
        <v>130</v>
      </c>
      <c r="B14" s="67" t="s">
        <v>166</v>
      </c>
      <c r="C14" s="14">
        <f>'Charges d''exploitation'!C14</f>
        <v>100</v>
      </c>
      <c r="D14" s="14">
        <f>'Charges d''exploitation'!D14</f>
        <v>100</v>
      </c>
      <c r="E14" s="14">
        <f>'Charges d''exploitation'!E14</f>
        <v>100</v>
      </c>
      <c r="F14" s="14">
        <f>'Charges d''exploitation'!F14</f>
        <v>100</v>
      </c>
      <c r="G14" s="14">
        <f>'Charges d''exploitation'!G14</f>
        <v>100</v>
      </c>
      <c r="H14" s="14">
        <f>'Charges d''exploitation'!H14</f>
        <v>100</v>
      </c>
      <c r="I14" s="14">
        <f>'Charges d''exploitation'!I14</f>
        <v>100</v>
      </c>
      <c r="J14" s="14">
        <f>'Charges d''exploitation'!J14</f>
        <v>100</v>
      </c>
      <c r="K14" s="14">
        <f>'Charges d''exploitation'!K14</f>
        <v>100</v>
      </c>
      <c r="L14" s="14">
        <f>'Charges d''exploitation'!L14</f>
        <v>100</v>
      </c>
      <c r="M14" s="14">
        <f>'Charges d''exploitation'!M14</f>
        <v>100</v>
      </c>
      <c r="N14" s="14">
        <f>'Charges d''exploitation'!N14</f>
        <v>100</v>
      </c>
      <c r="O14" s="81">
        <f>SUM(C14:N14)</f>
        <v>1200</v>
      </c>
      <c r="P14" s="65">
        <v>0.18</v>
      </c>
      <c r="Q14" s="35">
        <f>+O14*P14</f>
        <v>216</v>
      </c>
    </row>
    <row r="15" spans="1:17" ht="12.75" customHeight="1" x14ac:dyDescent="0.2">
      <c r="A15" s="212"/>
      <c r="B15" s="67" t="s">
        <v>167</v>
      </c>
      <c r="C15" s="14">
        <f>'Charges d''exploitation'!C15</f>
        <v>400</v>
      </c>
      <c r="D15" s="14">
        <f>'Charges d''exploitation'!D15</f>
        <v>400</v>
      </c>
      <c r="E15" s="14">
        <f>'Charges d''exploitation'!E15</f>
        <v>400</v>
      </c>
      <c r="F15" s="14">
        <f>'Charges d''exploitation'!F15</f>
        <v>400</v>
      </c>
      <c r="G15" s="14">
        <f>'Charges d''exploitation'!G15</f>
        <v>400</v>
      </c>
      <c r="H15" s="14">
        <f>'Charges d''exploitation'!H15</f>
        <v>400</v>
      </c>
      <c r="I15" s="14">
        <f>'Charges d''exploitation'!I15</f>
        <v>400</v>
      </c>
      <c r="J15" s="14">
        <f>'Charges d''exploitation'!J15</f>
        <v>400</v>
      </c>
      <c r="K15" s="14">
        <f>'Charges d''exploitation'!K15</f>
        <v>400</v>
      </c>
      <c r="L15" s="14">
        <f>'Charges d''exploitation'!L15</f>
        <v>400</v>
      </c>
      <c r="M15" s="14">
        <f>'Charges d''exploitation'!M15</f>
        <v>400</v>
      </c>
      <c r="N15" s="14">
        <f>'Charges d''exploitation'!N15</f>
        <v>400</v>
      </c>
      <c r="O15" s="81">
        <f>SUM(C15:N15)</f>
        <v>4800</v>
      </c>
      <c r="P15" s="65">
        <v>0.12</v>
      </c>
      <c r="Q15" s="35">
        <f>+O15*P15</f>
        <v>576</v>
      </c>
    </row>
    <row r="16" spans="1:17" ht="12.75" customHeight="1" x14ac:dyDescent="0.2">
      <c r="A16" s="212"/>
      <c r="B16" s="67" t="s">
        <v>168</v>
      </c>
      <c r="C16" s="14">
        <f>'Charges d''exploitation'!C16</f>
        <v>500</v>
      </c>
      <c r="D16" s="14">
        <f>'Charges d''exploitation'!D16</f>
        <v>500</v>
      </c>
      <c r="E16" s="14">
        <f>'Charges d''exploitation'!E16</f>
        <v>500</v>
      </c>
      <c r="F16" s="14">
        <f>'Charges d''exploitation'!F16</f>
        <v>500</v>
      </c>
      <c r="G16" s="14">
        <f>'Charges d''exploitation'!G16</f>
        <v>500</v>
      </c>
      <c r="H16" s="14">
        <f>'Charges d''exploitation'!H16</f>
        <v>500</v>
      </c>
      <c r="I16" s="14">
        <f>'Charges d''exploitation'!I16</f>
        <v>500</v>
      </c>
      <c r="J16" s="14">
        <f>'Charges d''exploitation'!J16</f>
        <v>500</v>
      </c>
      <c r="K16" s="14">
        <f>'Charges d''exploitation'!K16</f>
        <v>500</v>
      </c>
      <c r="L16" s="14">
        <f>'Charges d''exploitation'!L16</f>
        <v>500</v>
      </c>
      <c r="M16" s="14">
        <f>'Charges d''exploitation'!M16</f>
        <v>500</v>
      </c>
      <c r="N16" s="14">
        <f>'Charges d''exploitation'!N16</f>
        <v>500</v>
      </c>
      <c r="O16" s="81">
        <f>SUM(C16:N16)</f>
        <v>6000</v>
      </c>
      <c r="P16" s="65">
        <v>0.12</v>
      </c>
      <c r="Q16" s="35">
        <f>+O16*P16</f>
        <v>720</v>
      </c>
    </row>
    <row r="17" spans="1:17" ht="12.75" customHeight="1" x14ac:dyDescent="0.2">
      <c r="A17" s="16"/>
      <c r="B17" s="76" t="s">
        <v>169</v>
      </c>
      <c r="C17" s="78">
        <f t="shared" ref="C17:O17" si="3">SUM(C14:C16)</f>
        <v>1000</v>
      </c>
      <c r="D17" s="78">
        <f t="shared" si="3"/>
        <v>1000</v>
      </c>
      <c r="E17" s="78">
        <f t="shared" si="3"/>
        <v>1000</v>
      </c>
      <c r="F17" s="78">
        <f t="shared" si="3"/>
        <v>1000</v>
      </c>
      <c r="G17" s="78">
        <f t="shared" si="3"/>
        <v>1000</v>
      </c>
      <c r="H17" s="78">
        <f t="shared" si="3"/>
        <v>1000</v>
      </c>
      <c r="I17" s="78">
        <f t="shared" si="3"/>
        <v>1000</v>
      </c>
      <c r="J17" s="78">
        <f t="shared" si="3"/>
        <v>1000</v>
      </c>
      <c r="K17" s="78">
        <f t="shared" si="3"/>
        <v>1000</v>
      </c>
      <c r="L17" s="78">
        <f t="shared" si="3"/>
        <v>1000</v>
      </c>
      <c r="M17" s="78">
        <f t="shared" si="3"/>
        <v>1000</v>
      </c>
      <c r="N17" s="78">
        <f t="shared" si="3"/>
        <v>1000</v>
      </c>
      <c r="O17" s="78">
        <f t="shared" si="3"/>
        <v>12000</v>
      </c>
      <c r="P17" s="78"/>
      <c r="Q17" s="78">
        <f>SUM(Q14:Q16)</f>
        <v>1512</v>
      </c>
    </row>
    <row r="18" spans="1:17" s="35" customFormat="1" ht="12.75" customHeight="1" x14ac:dyDescent="0.2">
      <c r="A18" s="16"/>
      <c r="B18" s="82" t="s">
        <v>170</v>
      </c>
      <c r="C18" s="40">
        <f>'Charges d''exploitation'!C18</f>
        <v>378.4375</v>
      </c>
      <c r="D18" s="40">
        <f>'Charges d''exploitation'!D18</f>
        <v>378.4375</v>
      </c>
      <c r="E18" s="40">
        <f>'Charges d''exploitation'!E18</f>
        <v>378.4375</v>
      </c>
      <c r="F18" s="40">
        <f>'Charges d''exploitation'!F18</f>
        <v>378.4375</v>
      </c>
      <c r="G18" s="40">
        <f>'Charges d''exploitation'!G18</f>
        <v>378.4375</v>
      </c>
      <c r="H18" s="40">
        <f>'Charges d''exploitation'!H18</f>
        <v>378.4375</v>
      </c>
      <c r="I18" s="40">
        <f>'Charges d''exploitation'!I18</f>
        <v>378.4375</v>
      </c>
      <c r="J18" s="40">
        <f>'Charges d''exploitation'!J18</f>
        <v>378.4375</v>
      </c>
      <c r="K18" s="40">
        <f>'Charges d''exploitation'!K18</f>
        <v>378.4375</v>
      </c>
      <c r="L18" s="40">
        <f>'Charges d''exploitation'!L18</f>
        <v>378.4375</v>
      </c>
      <c r="M18" s="40">
        <f>'Charges d''exploitation'!M18</f>
        <v>378.4375</v>
      </c>
      <c r="N18" s="40">
        <f>'Charges d''exploitation'!N18</f>
        <v>378.4375</v>
      </c>
      <c r="O18" s="40">
        <f>'Frais IBM WATSON'!M16</f>
        <v>4541.25</v>
      </c>
      <c r="P18" s="34"/>
      <c r="Q18" s="34"/>
    </row>
    <row r="19" spans="1:17" s="35" customFormat="1" ht="28" x14ac:dyDescent="0.2">
      <c r="A19" s="16"/>
      <c r="B19" s="82" t="s">
        <v>171</v>
      </c>
      <c r="C19" s="40">
        <f>'Charges d''exploitation'!C19</f>
        <v>1130.1600000000001</v>
      </c>
      <c r="D19" s="40">
        <f>'Charges d''exploitation'!D19</f>
        <v>1130.1600000000001</v>
      </c>
      <c r="E19" s="40">
        <f>'Charges d''exploitation'!E19</f>
        <v>1130.1600000000001</v>
      </c>
      <c r="F19" s="40">
        <f>'Charges d''exploitation'!F19</f>
        <v>1130.1600000000001</v>
      </c>
      <c r="G19" s="40">
        <f>'Charges d''exploitation'!G19</f>
        <v>1130.1600000000001</v>
      </c>
      <c r="H19" s="40">
        <f>'Charges d''exploitation'!H19</f>
        <v>1130.1600000000001</v>
      </c>
      <c r="I19" s="40">
        <f>'Charges d''exploitation'!I19</f>
        <v>1130.1600000000001</v>
      </c>
      <c r="J19" s="40">
        <f>'Charges d''exploitation'!J19</f>
        <v>1130.1600000000001</v>
      </c>
      <c r="K19" s="40">
        <f>'Charges d''exploitation'!K19</f>
        <v>1130.1600000000001</v>
      </c>
      <c r="L19" s="40">
        <f>'Charges d''exploitation'!L19</f>
        <v>1130.1600000000001</v>
      </c>
      <c r="M19" s="40">
        <f>'Charges d''exploitation'!M19</f>
        <v>1130.1600000000001</v>
      </c>
      <c r="N19" s="40">
        <f>'Charges d''exploitation'!N19</f>
        <v>1130.1600000000001</v>
      </c>
      <c r="O19" s="40">
        <f>'Frais Readspeaker'!C3</f>
        <v>13561.920000000002</v>
      </c>
      <c r="P19" s="34"/>
      <c r="Q19" s="34"/>
    </row>
    <row r="20" spans="1:17" s="35" customFormat="1" x14ac:dyDescent="0.2">
      <c r="A20" s="16"/>
      <c r="B20" s="82" t="s">
        <v>172</v>
      </c>
      <c r="C20" s="40">
        <f>'Charges d''exploitation'!C20</f>
        <v>0</v>
      </c>
      <c r="D20" s="40">
        <f>'Charges d''exploitation'!D20</f>
        <v>0</v>
      </c>
      <c r="E20" s="40">
        <f>'Charges d''exploitation'!E20</f>
        <v>0</v>
      </c>
      <c r="F20" s="40">
        <f>'Charges d''exploitation'!F20</f>
        <v>0</v>
      </c>
      <c r="G20" s="40">
        <f>'Charges d''exploitation'!G20</f>
        <v>0</v>
      </c>
      <c r="H20" s="40">
        <f>'Charges d''exploitation'!H20</f>
        <v>0</v>
      </c>
      <c r="I20" s="40">
        <f>'Charges d''exploitation'!I20</f>
        <v>0</v>
      </c>
      <c r="J20" s="40">
        <f>'Charges d''exploitation'!J20</f>
        <v>0</v>
      </c>
      <c r="K20" s="40">
        <f>'Charges d''exploitation'!K20</f>
        <v>13561.920000000002</v>
      </c>
      <c r="L20" s="40">
        <f>'Charges d''exploitation'!L20</f>
        <v>0</v>
      </c>
      <c r="M20" s="40">
        <f>'Charges d''exploitation'!M20</f>
        <v>0</v>
      </c>
      <c r="N20" s="40">
        <f>'Charges d''exploitation'!N20</f>
        <v>0</v>
      </c>
      <c r="O20" s="40">
        <f t="shared" ref="O20:O28" si="4">SUM(C20:N20)</f>
        <v>13561.920000000002</v>
      </c>
      <c r="P20" s="34"/>
      <c r="Q20" s="34"/>
    </row>
    <row r="21" spans="1:17" ht="28" x14ac:dyDescent="0.2">
      <c r="A21" s="16"/>
      <c r="B21" s="82" t="s">
        <v>173</v>
      </c>
      <c r="C21" s="40">
        <f>'Charges d''exploitation'!C21</f>
        <v>400</v>
      </c>
      <c r="D21" s="40">
        <f>'Charges d''exploitation'!D21</f>
        <v>400</v>
      </c>
      <c r="E21" s="40">
        <f>'Charges d''exploitation'!E21</f>
        <v>400</v>
      </c>
      <c r="F21" s="40">
        <f>'Charges d''exploitation'!F21</f>
        <v>400</v>
      </c>
      <c r="G21" s="40">
        <f>'Charges d''exploitation'!G21</f>
        <v>400</v>
      </c>
      <c r="H21" s="40">
        <f>'Charges d''exploitation'!H21</f>
        <v>400</v>
      </c>
      <c r="I21" s="40">
        <f>'Charges d''exploitation'!I21</f>
        <v>400</v>
      </c>
      <c r="J21" s="40">
        <f>'Charges d''exploitation'!J21</f>
        <v>400</v>
      </c>
      <c r="K21" s="40">
        <f>'Charges d''exploitation'!K21</f>
        <v>400</v>
      </c>
      <c r="L21" s="40">
        <f>'Charges d''exploitation'!L21</f>
        <v>400</v>
      </c>
      <c r="M21" s="40">
        <f>'Charges d''exploitation'!M21</f>
        <v>400</v>
      </c>
      <c r="N21" s="40">
        <f>'Charges d''exploitation'!N21</f>
        <v>400</v>
      </c>
      <c r="O21" s="39">
        <f t="shared" si="4"/>
        <v>4800</v>
      </c>
      <c r="P21" s="34"/>
      <c r="Q21" s="34"/>
    </row>
    <row r="22" spans="1:17" s="83" customFormat="1" ht="12.75" customHeight="1" x14ac:dyDescent="0.15">
      <c r="A22" s="34"/>
      <c r="B22" s="82" t="s">
        <v>174</v>
      </c>
      <c r="C22" s="40">
        <f>'Charges d''exploitation'!C22</f>
        <v>150</v>
      </c>
      <c r="D22" s="40">
        <f>'Charges d''exploitation'!D22</f>
        <v>150</v>
      </c>
      <c r="E22" s="40">
        <f>'Charges d''exploitation'!E22</f>
        <v>150</v>
      </c>
      <c r="F22" s="40">
        <f>'Charges d''exploitation'!F22</f>
        <v>150</v>
      </c>
      <c r="G22" s="40">
        <f>'Charges d''exploitation'!G22</f>
        <v>150</v>
      </c>
      <c r="H22" s="40">
        <f>'Charges d''exploitation'!H22</f>
        <v>150</v>
      </c>
      <c r="I22" s="40">
        <f>'Charges d''exploitation'!I22</f>
        <v>150</v>
      </c>
      <c r="J22" s="40">
        <f>'Charges d''exploitation'!J22</f>
        <v>150</v>
      </c>
      <c r="K22" s="40">
        <f>'Charges d''exploitation'!K22</f>
        <v>150</v>
      </c>
      <c r="L22" s="40">
        <f>'Charges d''exploitation'!L22</f>
        <v>150</v>
      </c>
      <c r="M22" s="40">
        <f>'Charges d''exploitation'!M22</f>
        <v>150</v>
      </c>
      <c r="N22" s="40">
        <f>'Charges d''exploitation'!N22</f>
        <v>150</v>
      </c>
      <c r="O22" s="81">
        <f t="shared" si="4"/>
        <v>1800</v>
      </c>
      <c r="P22" s="34"/>
      <c r="Q22" s="34"/>
    </row>
    <row r="23" spans="1:17" ht="12.75" customHeight="1" x14ac:dyDescent="0.2">
      <c r="A23" s="34"/>
      <c r="B23" s="84" t="s">
        <v>175</v>
      </c>
      <c r="C23" s="40">
        <f>'Charges d''exploitation'!C23</f>
        <v>100</v>
      </c>
      <c r="D23" s="40">
        <f>'Charges d''exploitation'!D23</f>
        <v>100</v>
      </c>
      <c r="E23" s="40">
        <f>'Charges d''exploitation'!E23</f>
        <v>100</v>
      </c>
      <c r="F23" s="40">
        <f>'Charges d''exploitation'!F23</f>
        <v>100</v>
      </c>
      <c r="G23" s="40">
        <f>'Charges d''exploitation'!G23</f>
        <v>100</v>
      </c>
      <c r="H23" s="40">
        <f>'Charges d''exploitation'!H23</f>
        <v>100</v>
      </c>
      <c r="I23" s="40">
        <f>'Charges d''exploitation'!I23</f>
        <v>100</v>
      </c>
      <c r="J23" s="40">
        <f>'Charges d''exploitation'!J23</f>
        <v>100</v>
      </c>
      <c r="K23" s="40">
        <f>'Charges d''exploitation'!K23</f>
        <v>100</v>
      </c>
      <c r="L23" s="40">
        <f>'Charges d''exploitation'!L23</f>
        <v>100</v>
      </c>
      <c r="M23" s="40">
        <f>'Charges d''exploitation'!M23</f>
        <v>100</v>
      </c>
      <c r="N23" s="40">
        <f>'Charges d''exploitation'!N23</f>
        <v>100</v>
      </c>
      <c r="O23" s="81">
        <f t="shared" si="4"/>
        <v>1200</v>
      </c>
      <c r="P23" s="34"/>
      <c r="Q23" s="34"/>
    </row>
    <row r="24" spans="1:17" s="35" customFormat="1" ht="12.75" customHeight="1" x14ac:dyDescent="0.2">
      <c r="A24" s="85"/>
      <c r="B24" s="67" t="s">
        <v>176</v>
      </c>
      <c r="C24" s="40">
        <f>'Charges d''exploitation'!C24</f>
        <v>4000</v>
      </c>
      <c r="D24" s="40">
        <f>'Charges d''exploitation'!D24</f>
        <v>4000</v>
      </c>
      <c r="E24" s="40">
        <f>'Charges d''exploitation'!E24</f>
        <v>4000</v>
      </c>
      <c r="F24" s="40">
        <f>'Charges d''exploitation'!F24</f>
        <v>4000</v>
      </c>
      <c r="G24" s="40">
        <f>'Charges d''exploitation'!G24</f>
        <v>4000</v>
      </c>
      <c r="H24" s="40">
        <f>'Charges d''exploitation'!H24</f>
        <v>4000</v>
      </c>
      <c r="I24" s="40">
        <f>'Charges d''exploitation'!I24</f>
        <v>4000</v>
      </c>
      <c r="J24" s="40">
        <f>'Charges d''exploitation'!J24</f>
        <v>4000</v>
      </c>
      <c r="K24" s="40">
        <f>'Charges d''exploitation'!K24</f>
        <v>4000</v>
      </c>
      <c r="L24" s="40">
        <f>'Charges d''exploitation'!L24</f>
        <v>4000</v>
      </c>
      <c r="M24" s="40">
        <f>'Charges d''exploitation'!M24</f>
        <v>4000</v>
      </c>
      <c r="N24" s="40">
        <f>'Charges d''exploitation'!N24</f>
        <v>4000</v>
      </c>
      <c r="O24" s="81">
        <f t="shared" si="4"/>
        <v>48000</v>
      </c>
      <c r="P24" s="65">
        <v>0.12</v>
      </c>
      <c r="Q24" s="35">
        <f>+O24*P24</f>
        <v>5760</v>
      </c>
    </row>
    <row r="25" spans="1:17" s="35" customFormat="1" ht="12.75" customHeight="1" x14ac:dyDescent="0.2">
      <c r="A25" s="85"/>
      <c r="B25" s="82" t="s">
        <v>177</v>
      </c>
      <c r="C25" s="40">
        <f>'Charges d''exploitation'!C25</f>
        <v>300</v>
      </c>
      <c r="D25" s="40">
        <f>'Charges d''exploitation'!D25</f>
        <v>300</v>
      </c>
      <c r="E25" s="40">
        <f>'Charges d''exploitation'!E25</f>
        <v>300</v>
      </c>
      <c r="F25" s="40">
        <f>'Charges d''exploitation'!F25</f>
        <v>300</v>
      </c>
      <c r="G25" s="40">
        <f>'Charges d''exploitation'!G25</f>
        <v>300</v>
      </c>
      <c r="H25" s="40">
        <f>'Charges d''exploitation'!H25</f>
        <v>300</v>
      </c>
      <c r="I25" s="40">
        <f>'Charges d''exploitation'!I25</f>
        <v>300</v>
      </c>
      <c r="J25" s="40">
        <f>'Charges d''exploitation'!J25</f>
        <v>300</v>
      </c>
      <c r="K25" s="40">
        <f>'Charges d''exploitation'!K25</f>
        <v>300</v>
      </c>
      <c r="L25" s="40">
        <f>'Charges d''exploitation'!L25</f>
        <v>300</v>
      </c>
      <c r="M25" s="40">
        <f>'Charges d''exploitation'!M25</f>
        <v>300</v>
      </c>
      <c r="N25" s="40">
        <f>'Charges d''exploitation'!N25</f>
        <v>300</v>
      </c>
      <c r="O25" s="81">
        <f t="shared" si="4"/>
        <v>3600</v>
      </c>
      <c r="P25" s="65"/>
      <c r="Q25"/>
    </row>
    <row r="26" spans="1:17" ht="12.75" customHeight="1" x14ac:dyDescent="0.2">
      <c r="A26" s="86"/>
      <c r="B26" s="67" t="s">
        <v>178</v>
      </c>
      <c r="C26" s="40">
        <f>'Charges d''exploitation'!C26</f>
        <v>700</v>
      </c>
      <c r="D26" s="40">
        <f>'Charges d''exploitation'!D26</f>
        <v>700</v>
      </c>
      <c r="E26" s="40">
        <f>'Charges d''exploitation'!E26</f>
        <v>700</v>
      </c>
      <c r="F26" s="40">
        <f>'Charges d''exploitation'!F26</f>
        <v>700</v>
      </c>
      <c r="G26" s="40">
        <f>'Charges d''exploitation'!G26</f>
        <v>700</v>
      </c>
      <c r="H26" s="40">
        <f>'Charges d''exploitation'!H26</f>
        <v>700</v>
      </c>
      <c r="I26" s="40">
        <f>'Charges d''exploitation'!I26</f>
        <v>700</v>
      </c>
      <c r="J26" s="40">
        <f>'Charges d''exploitation'!J26</f>
        <v>700</v>
      </c>
      <c r="K26" s="40">
        <f>'Charges d''exploitation'!K26</f>
        <v>700</v>
      </c>
      <c r="L26" s="40">
        <f>'Charges d''exploitation'!L26</f>
        <v>700</v>
      </c>
      <c r="M26" s="40">
        <f>'Charges d''exploitation'!M26</f>
        <v>700</v>
      </c>
      <c r="N26" s="40">
        <f>'Charges d''exploitation'!N26</f>
        <v>700</v>
      </c>
      <c r="O26" s="81">
        <f t="shared" si="4"/>
        <v>8400</v>
      </c>
      <c r="P26" s="65">
        <v>0.18</v>
      </c>
      <c r="Q26" s="35">
        <f>+O26*P26</f>
        <v>1512</v>
      </c>
    </row>
    <row r="27" spans="1:17" ht="12.75" customHeight="1" x14ac:dyDescent="0.2">
      <c r="A27" s="86"/>
      <c r="B27" s="82" t="s">
        <v>179</v>
      </c>
      <c r="C27" s="40">
        <f>'Charges d''exploitation'!C27</f>
        <v>15000</v>
      </c>
      <c r="D27" s="40">
        <f>'Charges d''exploitation'!D27</f>
        <v>0</v>
      </c>
      <c r="E27" s="40">
        <f>'Charges d''exploitation'!E27</f>
        <v>0</v>
      </c>
      <c r="F27" s="40">
        <f>'Charges d''exploitation'!F27</f>
        <v>0</v>
      </c>
      <c r="G27" s="40">
        <f>'Charges d''exploitation'!G27</f>
        <v>0</v>
      </c>
      <c r="H27" s="40">
        <f>'Charges d''exploitation'!H27</f>
        <v>0</v>
      </c>
      <c r="I27" s="40">
        <f>'Charges d''exploitation'!I27</f>
        <v>0</v>
      </c>
      <c r="J27" s="40">
        <f>'Charges d''exploitation'!J27</f>
        <v>0</v>
      </c>
      <c r="K27" s="40">
        <f>'Charges d''exploitation'!K27</f>
        <v>0</v>
      </c>
      <c r="L27" s="40">
        <f>'Charges d''exploitation'!L27</f>
        <v>0</v>
      </c>
      <c r="M27" s="40">
        <f>'Charges d''exploitation'!M27</f>
        <v>0</v>
      </c>
      <c r="N27" s="40">
        <f>'Charges d''exploitation'!N27</f>
        <v>0</v>
      </c>
      <c r="O27" s="81">
        <f t="shared" si="4"/>
        <v>15000</v>
      </c>
      <c r="P27" s="65">
        <v>0.18</v>
      </c>
      <c r="Q27" s="35">
        <f>+O27*P27</f>
        <v>2700</v>
      </c>
    </row>
    <row r="28" spans="1:17" ht="12.75" customHeight="1" x14ac:dyDescent="0.2">
      <c r="A28" s="86"/>
      <c r="B28" s="82" t="s">
        <v>180</v>
      </c>
      <c r="C28" s="40">
        <f>'Charges d''exploitation'!C28</f>
        <v>0</v>
      </c>
      <c r="D28" s="40">
        <f>'Charges d''exploitation'!D28</f>
        <v>0</v>
      </c>
      <c r="E28" s="40">
        <f>'Charges d''exploitation'!E28</f>
        <v>23550</v>
      </c>
      <c r="F28" s="40">
        <f>'Charges d''exploitation'!F28</f>
        <v>0</v>
      </c>
      <c r="G28" s="40">
        <f>'Charges d''exploitation'!G28</f>
        <v>0</v>
      </c>
      <c r="H28" s="40">
        <f>'Charges d''exploitation'!H28</f>
        <v>4350</v>
      </c>
      <c r="I28" s="40">
        <f>'Charges d''exploitation'!I28</f>
        <v>0</v>
      </c>
      <c r="J28" s="40">
        <f>'Charges d''exploitation'!J28</f>
        <v>0</v>
      </c>
      <c r="K28" s="40">
        <f>'Charges d''exploitation'!K28</f>
        <v>3550</v>
      </c>
      <c r="L28" s="40">
        <f>'Charges d''exploitation'!L28</f>
        <v>0</v>
      </c>
      <c r="M28" s="40">
        <f>'Charges d''exploitation'!M28</f>
        <v>0</v>
      </c>
      <c r="N28" s="40">
        <f>'Charges d''exploitation'!N28</f>
        <v>9350</v>
      </c>
      <c r="O28" s="81">
        <f t="shared" si="4"/>
        <v>40800</v>
      </c>
      <c r="P28" s="65">
        <v>0.12</v>
      </c>
      <c r="Q28" s="35">
        <f>+O28*P28</f>
        <v>4896</v>
      </c>
    </row>
    <row r="29" spans="1:17" ht="28.5" customHeight="1" x14ac:dyDescent="0.2">
      <c r="A29" s="86"/>
      <c r="B29" s="76" t="s">
        <v>181</v>
      </c>
      <c r="C29" s="77">
        <f t="shared" ref="C29:O29" si="5">SUM(C18:C28)</f>
        <v>22158.5975</v>
      </c>
      <c r="D29" s="77">
        <f t="shared" si="5"/>
        <v>7158.5974999999999</v>
      </c>
      <c r="E29" s="77">
        <f t="shared" si="5"/>
        <v>30708.5975</v>
      </c>
      <c r="F29" s="77">
        <f t="shared" si="5"/>
        <v>7158.5974999999999</v>
      </c>
      <c r="G29" s="77">
        <f t="shared" si="5"/>
        <v>7158.5974999999999</v>
      </c>
      <c r="H29" s="77">
        <f t="shared" si="5"/>
        <v>11508.5975</v>
      </c>
      <c r="I29" s="77">
        <f t="shared" si="5"/>
        <v>7158.5974999999999</v>
      </c>
      <c r="J29" s="77">
        <f t="shared" si="5"/>
        <v>7158.5974999999999</v>
      </c>
      <c r="K29" s="77">
        <f t="shared" si="5"/>
        <v>24270.517500000002</v>
      </c>
      <c r="L29" s="77">
        <f t="shared" si="5"/>
        <v>7158.5974999999999</v>
      </c>
      <c r="M29" s="77">
        <f t="shared" si="5"/>
        <v>7158.5974999999999</v>
      </c>
      <c r="N29" s="77">
        <f t="shared" si="5"/>
        <v>16508.5975</v>
      </c>
      <c r="O29" s="77">
        <f t="shared" si="5"/>
        <v>155265.09</v>
      </c>
      <c r="P29" s="65"/>
      <c r="Q29" s="78">
        <f>SUM(Q24:Q28)</f>
        <v>14868</v>
      </c>
    </row>
    <row r="30" spans="1:17" ht="28.5" customHeight="1" x14ac:dyDescent="0.2">
      <c r="B30" s="88" t="s">
        <v>183</v>
      </c>
      <c r="C30" s="89">
        <f t="shared" ref="C30:O30" si="6">C17+C29</f>
        <v>23158.5975</v>
      </c>
      <c r="D30" s="89">
        <f t="shared" si="6"/>
        <v>8158.5974999999999</v>
      </c>
      <c r="E30" s="89">
        <f t="shared" si="6"/>
        <v>31708.5975</v>
      </c>
      <c r="F30" s="89">
        <f t="shared" si="6"/>
        <v>8158.5974999999999</v>
      </c>
      <c r="G30" s="89">
        <f t="shared" si="6"/>
        <v>8158.5974999999999</v>
      </c>
      <c r="H30" s="89">
        <f t="shared" si="6"/>
        <v>12508.5975</v>
      </c>
      <c r="I30" s="89">
        <f t="shared" si="6"/>
        <v>8158.5974999999999</v>
      </c>
      <c r="J30" s="89">
        <f t="shared" si="6"/>
        <v>8158.5974999999999</v>
      </c>
      <c r="K30" s="89">
        <f t="shared" si="6"/>
        <v>25270.517500000002</v>
      </c>
      <c r="L30" s="89">
        <f t="shared" si="6"/>
        <v>8158.5974999999999</v>
      </c>
      <c r="M30" s="89">
        <f t="shared" si="6"/>
        <v>8158.5974999999999</v>
      </c>
      <c r="N30" s="89">
        <f t="shared" si="6"/>
        <v>17508.5975</v>
      </c>
      <c r="O30" s="89">
        <f t="shared" si="6"/>
        <v>167265.09</v>
      </c>
      <c r="P30" s="69"/>
    </row>
    <row r="31" spans="1:17" ht="29.25" customHeight="1" x14ac:dyDescent="0.2">
      <c r="A31" s="86"/>
      <c r="B31" s="76" t="s">
        <v>216</v>
      </c>
      <c r="C31" s="77">
        <f t="shared" ref="C31:N31" si="7">$O$31/12</f>
        <v>25857.692307692309</v>
      </c>
      <c r="D31" s="77">
        <f t="shared" si="7"/>
        <v>25857.692307692309</v>
      </c>
      <c r="E31" s="77">
        <f t="shared" si="7"/>
        <v>25857.692307692309</v>
      </c>
      <c r="F31" s="77">
        <f t="shared" si="7"/>
        <v>25857.692307692309</v>
      </c>
      <c r="G31" s="77">
        <f t="shared" si="7"/>
        <v>25857.692307692309</v>
      </c>
      <c r="H31" s="77">
        <f t="shared" si="7"/>
        <v>25857.692307692309</v>
      </c>
      <c r="I31" s="77">
        <f t="shared" si="7"/>
        <v>25857.692307692309</v>
      </c>
      <c r="J31" s="77">
        <f t="shared" si="7"/>
        <v>25857.692307692309</v>
      </c>
      <c r="K31" s="77">
        <f t="shared" si="7"/>
        <v>25857.692307692309</v>
      </c>
      <c r="L31" s="77">
        <f t="shared" si="7"/>
        <v>25857.692307692309</v>
      </c>
      <c r="M31" s="77">
        <f t="shared" si="7"/>
        <v>25857.692307692309</v>
      </c>
      <c r="N31" s="77">
        <f t="shared" si="7"/>
        <v>25857.692307692309</v>
      </c>
      <c r="O31" s="77">
        <f>'Budget RH en nombre TTC'!C50</f>
        <v>310292.30769230769</v>
      </c>
      <c r="P31" s="65"/>
      <c r="Q31" s="87"/>
    </row>
    <row r="32" spans="1:17" x14ac:dyDescent="0.2">
      <c r="A32" s="86"/>
      <c r="B32" s="76" t="s">
        <v>134</v>
      </c>
      <c r="C32" s="78"/>
      <c r="D32" s="78"/>
      <c r="E32" s="78"/>
      <c r="F32" s="77">
        <f>'Budget RH en nombre TTC'!C52</f>
        <v>23271.923076923078</v>
      </c>
      <c r="G32" s="78"/>
      <c r="H32" s="78"/>
      <c r="I32" s="77">
        <f>'Budget RH en nombre TTC'!C52</f>
        <v>23271.923076923078</v>
      </c>
      <c r="J32" s="78"/>
      <c r="K32" s="78"/>
      <c r="L32" s="77">
        <f>'Budget RH en nombre TTC'!C52</f>
        <v>23271.923076923078</v>
      </c>
      <c r="M32" s="78"/>
      <c r="N32" s="78"/>
      <c r="O32" s="77">
        <f>SUM(C32:N32)</f>
        <v>69815.769230769234</v>
      </c>
      <c r="P32" s="65"/>
      <c r="Q32" s="87"/>
    </row>
    <row r="33" spans="1:17" x14ac:dyDescent="0.2">
      <c r="A33" s="86"/>
      <c r="B33" s="76" t="s">
        <v>217</v>
      </c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65"/>
      <c r="Q33" s="87"/>
    </row>
    <row r="34" spans="1:17" x14ac:dyDescent="0.2">
      <c r="A34" s="86"/>
      <c r="B34" s="76" t="s">
        <v>218</v>
      </c>
      <c r="C34" s="78"/>
      <c r="D34" s="78"/>
      <c r="E34" s="78"/>
      <c r="F34" s="78"/>
      <c r="G34" s="77">
        <f t="shared" ref="G34:N34" si="8">$O$34/9</f>
        <v>7681.4214430400007</v>
      </c>
      <c r="H34" s="77">
        <f t="shared" si="8"/>
        <v>7681.4214430400007</v>
      </c>
      <c r="I34" s="77">
        <f t="shared" si="8"/>
        <v>7681.4214430400007</v>
      </c>
      <c r="J34" s="77">
        <f t="shared" si="8"/>
        <v>7681.4214430400007</v>
      </c>
      <c r="K34" s="77">
        <f t="shared" si="8"/>
        <v>7681.4214430400007</v>
      </c>
      <c r="L34" s="77">
        <f t="shared" si="8"/>
        <v>7681.4214430400007</v>
      </c>
      <c r="M34" s="77">
        <f t="shared" si="8"/>
        <v>7681.4214430400007</v>
      </c>
      <c r="N34" s="77">
        <f t="shared" si="8"/>
        <v>7681.4214430400007</v>
      </c>
      <c r="O34" s="77">
        <f>'Calcul de TVA à payer'!B35</f>
        <v>69132.792987360008</v>
      </c>
      <c r="P34" s="65"/>
      <c r="Q34" s="87"/>
    </row>
    <row r="35" spans="1:17" x14ac:dyDescent="0.2">
      <c r="B35" s="88" t="s">
        <v>219</v>
      </c>
      <c r="C35" s="89">
        <f t="shared" ref="C35:O35" si="9">C12-C30-C31-C32-C33-C34</f>
        <v>-36289.637759692312</v>
      </c>
      <c r="D35" s="89">
        <f t="shared" si="9"/>
        <v>-7782.9857116923085</v>
      </c>
      <c r="E35" s="89">
        <f t="shared" si="9"/>
        <v>-18216.333663692305</v>
      </c>
      <c r="F35" s="89">
        <f t="shared" si="9"/>
        <v>8295.0473553846132</v>
      </c>
      <c r="G35" s="89">
        <f t="shared" si="9"/>
        <v>50118.853085267692</v>
      </c>
      <c r="H35" s="89">
        <f t="shared" si="9"/>
        <v>65443.83115726769</v>
      </c>
      <c r="I35" s="89">
        <f t="shared" si="9"/>
        <v>66196.88615234461</v>
      </c>
      <c r="J35" s="89">
        <f t="shared" si="9"/>
        <v>89468.809229267688</v>
      </c>
      <c r="K35" s="89">
        <f t="shared" si="9"/>
        <v>92699.769229267695</v>
      </c>
      <c r="L35" s="89">
        <f t="shared" si="9"/>
        <v>66196.88615234461</v>
      </c>
      <c r="M35" s="89">
        <f t="shared" si="9"/>
        <v>89468.809229267688</v>
      </c>
      <c r="N35" s="89">
        <f t="shared" si="9"/>
        <v>100461.68922926769</v>
      </c>
      <c r="O35" s="89">
        <f t="shared" si="9"/>
        <v>558380.20224156312</v>
      </c>
      <c r="P35" s="69"/>
    </row>
    <row r="36" spans="1:17" x14ac:dyDescent="0.2">
      <c r="B36" s="88" t="s">
        <v>220</v>
      </c>
      <c r="C36" s="89">
        <f>C35</f>
        <v>-36289.637759692312</v>
      </c>
      <c r="D36" s="89">
        <f t="shared" ref="D36:N36" si="10">D35+C36</f>
        <v>-44072.623471384621</v>
      </c>
      <c r="E36" s="89">
        <f t="shared" si="10"/>
        <v>-62288.957135076926</v>
      </c>
      <c r="F36" s="89">
        <f t="shared" si="10"/>
        <v>-53993.909779692316</v>
      </c>
      <c r="G36" s="89">
        <f t="shared" si="10"/>
        <v>-3875.0566944246239</v>
      </c>
      <c r="H36" s="89">
        <f t="shared" si="10"/>
        <v>61568.774462843066</v>
      </c>
      <c r="I36" s="89">
        <f t="shared" si="10"/>
        <v>127765.66061518768</v>
      </c>
      <c r="J36" s="89">
        <f t="shared" si="10"/>
        <v>217234.46984445537</v>
      </c>
      <c r="K36" s="89">
        <f t="shared" si="10"/>
        <v>309934.23907372309</v>
      </c>
      <c r="L36" s="89">
        <f t="shared" si="10"/>
        <v>376131.12522606773</v>
      </c>
      <c r="M36" s="89">
        <f t="shared" si="10"/>
        <v>465599.93445533543</v>
      </c>
      <c r="N36" s="89">
        <f t="shared" si="10"/>
        <v>566061.62368460314</v>
      </c>
      <c r="O36" s="89"/>
      <c r="P36" s="69"/>
    </row>
    <row r="37" spans="1:17" x14ac:dyDescent="0.2">
      <c r="B37" s="66"/>
      <c r="C37" s="38"/>
      <c r="D37" s="38"/>
      <c r="E37" s="38"/>
      <c r="F37" s="38"/>
      <c r="G37" s="38"/>
      <c r="O37" s="64"/>
      <c r="P37" s="65"/>
    </row>
    <row r="38" spans="1:17" ht="16" x14ac:dyDescent="0.2">
      <c r="B38" s="113" t="s">
        <v>221</v>
      </c>
      <c r="C38" s="114">
        <f>O12-C2-O30-O31-O32-O33-O34</f>
        <v>-104169.79775843689</v>
      </c>
      <c r="D38" s="38"/>
      <c r="E38" s="38">
        <v>62289</v>
      </c>
      <c r="F38" s="38">
        <f>E38+C2</f>
        <v>724839</v>
      </c>
      <c r="G38" s="38"/>
      <c r="H38" s="38"/>
      <c r="I38" s="38"/>
      <c r="J38" s="38"/>
      <c r="K38" s="38"/>
      <c r="L38" s="38"/>
      <c r="M38" s="38"/>
      <c r="N38" s="38"/>
      <c r="O38" s="115"/>
      <c r="P38" s="65"/>
    </row>
    <row r="39" spans="1:17" x14ac:dyDescent="0.2">
      <c r="B39" s="66"/>
      <c r="C39" s="38"/>
      <c r="D39" s="38"/>
      <c r="E39" s="38"/>
      <c r="F39" s="38"/>
      <c r="G39" s="38"/>
      <c r="O39" s="115"/>
      <c r="P39" s="65"/>
    </row>
    <row r="40" spans="1:17" x14ac:dyDescent="0.2">
      <c r="B40" s="66"/>
      <c r="C40" s="38"/>
      <c r="D40" s="38"/>
      <c r="E40" s="38"/>
      <c r="F40" s="38"/>
      <c r="G40" s="38"/>
      <c r="O40" s="64"/>
      <c r="P40" s="65"/>
    </row>
    <row r="41" spans="1:17" x14ac:dyDescent="0.2">
      <c r="B41" s="66"/>
      <c r="C41" s="38"/>
      <c r="D41" s="38"/>
      <c r="E41" s="38"/>
      <c r="F41" s="38"/>
      <c r="G41" s="38"/>
      <c r="O41" s="64"/>
      <c r="P41" s="65"/>
    </row>
    <row r="42" spans="1:17" s="35" customFormat="1" ht="20.25" customHeight="1" x14ac:dyDescent="0.2">
      <c r="B42" s="211" t="s">
        <v>222</v>
      </c>
      <c r="C42" s="211"/>
      <c r="D42" s="211"/>
      <c r="E42" s="211"/>
      <c r="F42" s="211"/>
      <c r="G42" s="211"/>
      <c r="H42" s="211"/>
      <c r="I42" s="211"/>
      <c r="J42" s="211"/>
      <c r="K42" s="211"/>
      <c r="L42" s="211"/>
      <c r="O42" s="64"/>
      <c r="P42" s="65"/>
    </row>
    <row r="43" spans="1:17" s="35" customFormat="1" x14ac:dyDescent="0.2">
      <c r="B43" s="66"/>
      <c r="O43" s="64"/>
      <c r="P43" s="65"/>
    </row>
    <row r="44" spans="1:17" s="34" customFormat="1" ht="14" x14ac:dyDescent="0.2">
      <c r="B44" s="98"/>
      <c r="C44" s="39" t="s">
        <v>145</v>
      </c>
      <c r="D44" s="39" t="s">
        <v>146</v>
      </c>
      <c r="E44" s="39" t="s">
        <v>147</v>
      </c>
      <c r="F44" s="39" t="s">
        <v>148</v>
      </c>
      <c r="G44" s="39" t="s">
        <v>149</v>
      </c>
      <c r="H44" s="39" t="s">
        <v>150</v>
      </c>
      <c r="I44" s="39" t="s">
        <v>151</v>
      </c>
      <c r="J44" s="39" t="s">
        <v>152</v>
      </c>
      <c r="K44" s="39" t="s">
        <v>153</v>
      </c>
      <c r="L44" s="39" t="s">
        <v>154</v>
      </c>
      <c r="M44" s="39" t="s">
        <v>155</v>
      </c>
      <c r="N44" s="39" t="s">
        <v>156</v>
      </c>
      <c r="O44" s="68" t="s">
        <v>157</v>
      </c>
      <c r="P44" s="99"/>
    </row>
    <row r="45" spans="1:17" s="35" customFormat="1" x14ac:dyDescent="0.2">
      <c r="B45" s="70" t="s">
        <v>158</v>
      </c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80"/>
      <c r="P45" s="65"/>
    </row>
    <row r="46" spans="1:17" s="35" customFormat="1" x14ac:dyDescent="0.2">
      <c r="B46" s="82" t="s">
        <v>159</v>
      </c>
      <c r="C46" s="15">
        <f>'Charges d''exploitation'!C48</f>
        <v>85215</v>
      </c>
      <c r="D46" s="15">
        <f>'Charges d''exploitation'!D48</f>
        <v>85215</v>
      </c>
      <c r="E46" s="15">
        <f>'Charges d''exploitation'!E48</f>
        <v>85215</v>
      </c>
      <c r="F46" s="15">
        <f>'Charges d''exploitation'!F48</f>
        <v>85215</v>
      </c>
      <c r="G46" s="15">
        <f>'Charges d''exploitation'!G48</f>
        <v>85215</v>
      </c>
      <c r="H46" s="15">
        <f>'Charges d''exploitation'!H48</f>
        <v>85215</v>
      </c>
      <c r="I46" s="15">
        <f>'Charges d''exploitation'!I48</f>
        <v>85215</v>
      </c>
      <c r="J46" s="15">
        <f>'Charges d''exploitation'!J48</f>
        <v>85215</v>
      </c>
      <c r="K46" s="15">
        <f>'Charges d''exploitation'!K48</f>
        <v>85215</v>
      </c>
      <c r="L46" s="15">
        <f>'Charges d''exploitation'!L48</f>
        <v>85215</v>
      </c>
      <c r="M46" s="15">
        <f>'Charges d''exploitation'!M48</f>
        <v>85215</v>
      </c>
      <c r="N46" s="15">
        <f>'Charges d''exploitation'!N48</f>
        <v>85215</v>
      </c>
      <c r="O46" s="100">
        <f>SUM(C46:N46)</f>
        <v>1022580</v>
      </c>
      <c r="P46" s="65"/>
    </row>
    <row r="47" spans="1:17" s="35" customFormat="1" x14ac:dyDescent="0.2">
      <c r="B47" s="82" t="s">
        <v>160</v>
      </c>
      <c r="C47" s="15">
        <f>'Charges d''exploitation'!C49</f>
        <v>31184.965656000004</v>
      </c>
      <c r="D47" s="15">
        <f>'Charges d''exploitation'!D49</f>
        <v>31184.965656000004</v>
      </c>
      <c r="E47" s="15">
        <f>'Charges d''exploitation'!E49</f>
        <v>31184.965656000004</v>
      </c>
      <c r="F47" s="15">
        <f>'Charges d''exploitation'!F49</f>
        <v>31184.965656000004</v>
      </c>
      <c r="G47" s="15">
        <f>'Charges d''exploitation'!G49</f>
        <v>31184.965656000004</v>
      </c>
      <c r="H47" s="15">
        <f>'Charges d''exploitation'!H49</f>
        <v>31184.965656000004</v>
      </c>
      <c r="I47" s="15">
        <f>'Charges d''exploitation'!I49</f>
        <v>31184.965656000004</v>
      </c>
      <c r="J47" s="15">
        <f>'Charges d''exploitation'!J49</f>
        <v>31184.965656000004</v>
      </c>
      <c r="K47" s="15">
        <f>'Charges d''exploitation'!K49</f>
        <v>31184.965656000004</v>
      </c>
      <c r="L47" s="15">
        <f>'Charges d''exploitation'!L49</f>
        <v>31184.965656000004</v>
      </c>
      <c r="M47" s="15">
        <f>'Charges d''exploitation'!M49</f>
        <v>31184.965656000004</v>
      </c>
      <c r="N47" s="15">
        <f>'Charges d''exploitation'!N49</f>
        <v>31184.965656000004</v>
      </c>
      <c r="O47" s="100">
        <f>SUM(C47:N47)</f>
        <v>374219.58787200012</v>
      </c>
      <c r="P47" s="65"/>
    </row>
    <row r="48" spans="1:17" s="35" customFormat="1" x14ac:dyDescent="0.2">
      <c r="B48" s="82" t="s">
        <v>161</v>
      </c>
      <c r="C48" s="15">
        <f>'Charges d''exploitation'!C50</f>
        <v>26220</v>
      </c>
      <c r="D48" s="15">
        <f>'Charges d''exploitation'!D50</f>
        <v>26220</v>
      </c>
      <c r="E48" s="15">
        <f>'Charges d''exploitation'!E50</f>
        <v>26220</v>
      </c>
      <c r="F48" s="15">
        <f>'Charges d''exploitation'!F50</f>
        <v>26220</v>
      </c>
      <c r="G48" s="15">
        <f>'Charges d''exploitation'!G50</f>
        <v>26220</v>
      </c>
      <c r="H48" s="15">
        <f>'Charges d''exploitation'!H50</f>
        <v>26220</v>
      </c>
      <c r="I48" s="15">
        <f>'Charges d''exploitation'!I50</f>
        <v>26220</v>
      </c>
      <c r="J48" s="15">
        <f>'Charges d''exploitation'!J50</f>
        <v>26220</v>
      </c>
      <c r="K48" s="15">
        <f>'Charges d''exploitation'!K50</f>
        <v>26220</v>
      </c>
      <c r="L48" s="15">
        <f>'Charges d''exploitation'!L50</f>
        <v>26220</v>
      </c>
      <c r="M48" s="15">
        <f>'Charges d''exploitation'!M50</f>
        <v>26220</v>
      </c>
      <c r="N48" s="15">
        <f>'Charges d''exploitation'!N50</f>
        <v>26220</v>
      </c>
      <c r="O48" s="100">
        <f>SUM(C48:N48)</f>
        <v>314640</v>
      </c>
      <c r="P48" s="65"/>
    </row>
    <row r="49" spans="1:17" s="35" customFormat="1" x14ac:dyDescent="0.2">
      <c r="B49" s="76" t="s">
        <v>162</v>
      </c>
      <c r="C49" s="77">
        <f t="shared" ref="C49:O49" si="11">SUM(C46:C48)</f>
        <v>142619.96565600001</v>
      </c>
      <c r="D49" s="77">
        <f t="shared" si="11"/>
        <v>142619.96565600001</v>
      </c>
      <c r="E49" s="77">
        <f t="shared" si="11"/>
        <v>142619.96565600001</v>
      </c>
      <c r="F49" s="77">
        <f t="shared" si="11"/>
        <v>142619.96565600001</v>
      </c>
      <c r="G49" s="77">
        <f t="shared" si="11"/>
        <v>142619.96565600001</v>
      </c>
      <c r="H49" s="77">
        <f t="shared" si="11"/>
        <v>142619.96565600001</v>
      </c>
      <c r="I49" s="77">
        <f t="shared" si="11"/>
        <v>142619.96565600001</v>
      </c>
      <c r="J49" s="77">
        <f t="shared" si="11"/>
        <v>142619.96565600001</v>
      </c>
      <c r="K49" s="77">
        <f t="shared" si="11"/>
        <v>142619.96565600001</v>
      </c>
      <c r="L49" s="77">
        <f t="shared" si="11"/>
        <v>142619.96565600001</v>
      </c>
      <c r="M49" s="77">
        <f t="shared" si="11"/>
        <v>142619.96565600001</v>
      </c>
      <c r="N49" s="77">
        <f t="shared" si="11"/>
        <v>142619.96565600001</v>
      </c>
      <c r="O49" s="77">
        <f t="shared" si="11"/>
        <v>1711439.5878720002</v>
      </c>
      <c r="P49" s="65"/>
    </row>
    <row r="50" spans="1:17" s="35" customFormat="1" x14ac:dyDescent="0.2">
      <c r="B50" s="82" t="s">
        <v>124</v>
      </c>
      <c r="C50" s="15">
        <f>'Charges d''exploitation'!C52</f>
        <v>0</v>
      </c>
      <c r="D50" s="15">
        <f>'Charges d''exploitation'!D52</f>
        <v>0</v>
      </c>
      <c r="E50" s="15">
        <f>'Charges d''exploitation'!E52</f>
        <v>17828.64</v>
      </c>
      <c r="F50" s="15">
        <f>'Charges d''exploitation'!F52</f>
        <v>0</v>
      </c>
      <c r="G50" s="15">
        <f>'Charges d''exploitation'!G52</f>
        <v>0</v>
      </c>
      <c r="H50" s="15">
        <f>'Charges d''exploitation'!H52</f>
        <v>17828.64</v>
      </c>
      <c r="I50" s="15">
        <f>'Charges d''exploitation'!I52</f>
        <v>0</v>
      </c>
      <c r="J50" s="15">
        <f>'Charges d''exploitation'!J52</f>
        <v>0</v>
      </c>
      <c r="K50" s="15">
        <f>'Charges d''exploitation'!K52</f>
        <v>17828.64</v>
      </c>
      <c r="L50" s="15">
        <f>'Charges d''exploitation'!L52</f>
        <v>0</v>
      </c>
      <c r="M50" s="15">
        <f>'Charges d''exploitation'!M52</f>
        <v>0</v>
      </c>
      <c r="N50" s="15">
        <f>'Charges d''exploitation'!N52</f>
        <v>17828.64</v>
      </c>
      <c r="O50" s="100">
        <f>SUM(C50:N50)</f>
        <v>71314.559999999998</v>
      </c>
      <c r="P50" s="65"/>
    </row>
    <row r="51" spans="1:17" s="35" customFormat="1" x14ac:dyDescent="0.2">
      <c r="B51" s="82" t="s">
        <v>125</v>
      </c>
      <c r="C51" s="15">
        <f>'Charges d''exploitation'!C53</f>
        <v>3823.75</v>
      </c>
      <c r="D51" s="15">
        <f>'Charges d''exploitation'!D53</f>
        <v>3823.75</v>
      </c>
      <c r="E51" s="15">
        <f>'Charges d''exploitation'!E53</f>
        <v>3823.75</v>
      </c>
      <c r="F51" s="15">
        <f>'Charges d''exploitation'!F53</f>
        <v>3823.75</v>
      </c>
      <c r="G51" s="15">
        <f>'Charges d''exploitation'!G53</f>
        <v>3823.75</v>
      </c>
      <c r="H51" s="15">
        <f>'Charges d''exploitation'!H53</f>
        <v>3823.75</v>
      </c>
      <c r="I51" s="15">
        <f>'Charges d''exploitation'!I53</f>
        <v>3823.75</v>
      </c>
      <c r="J51" s="15">
        <f>'Charges d''exploitation'!J53</f>
        <v>3823.75</v>
      </c>
      <c r="K51" s="15">
        <f>'Charges d''exploitation'!K53</f>
        <v>3823.75</v>
      </c>
      <c r="L51" s="15">
        <f>'Charges d''exploitation'!L53</f>
        <v>3823.75</v>
      </c>
      <c r="M51" s="15">
        <f>'Charges d''exploitation'!M53</f>
        <v>3823.75</v>
      </c>
      <c r="N51" s="15">
        <f>'Charges d''exploitation'!N53</f>
        <v>3823.75</v>
      </c>
      <c r="O51" s="101">
        <f>SUM(C51:N51)</f>
        <v>45885</v>
      </c>
      <c r="P51" s="65"/>
    </row>
    <row r="52" spans="1:17" s="35" customFormat="1" x14ac:dyDescent="0.2">
      <c r="B52" s="76" t="s">
        <v>163</v>
      </c>
      <c r="C52" s="77">
        <f t="shared" ref="C52:O52" si="12">SUM(C50:C51)</f>
        <v>3823.75</v>
      </c>
      <c r="D52" s="77">
        <f t="shared" si="12"/>
        <v>3823.75</v>
      </c>
      <c r="E52" s="77">
        <f t="shared" si="12"/>
        <v>21652.39</v>
      </c>
      <c r="F52" s="77">
        <f t="shared" si="12"/>
        <v>3823.75</v>
      </c>
      <c r="G52" s="77">
        <f t="shared" si="12"/>
        <v>3823.75</v>
      </c>
      <c r="H52" s="77">
        <f t="shared" si="12"/>
        <v>21652.39</v>
      </c>
      <c r="I52" s="77">
        <f t="shared" si="12"/>
        <v>3823.75</v>
      </c>
      <c r="J52" s="77">
        <f t="shared" si="12"/>
        <v>3823.75</v>
      </c>
      <c r="K52" s="77">
        <f t="shared" si="12"/>
        <v>21652.39</v>
      </c>
      <c r="L52" s="77">
        <f t="shared" si="12"/>
        <v>3823.75</v>
      </c>
      <c r="M52" s="77">
        <f t="shared" si="12"/>
        <v>3823.75</v>
      </c>
      <c r="N52" s="77">
        <f t="shared" si="12"/>
        <v>21652.39</v>
      </c>
      <c r="O52" s="77">
        <f t="shared" si="12"/>
        <v>117199.56</v>
      </c>
      <c r="P52" s="65"/>
    </row>
    <row r="53" spans="1:17" s="35" customFormat="1" x14ac:dyDescent="0.2">
      <c r="B53" s="76" t="s">
        <v>164</v>
      </c>
      <c r="C53" s="77">
        <f t="shared" ref="C53:O53" si="13">C49+C52</f>
        <v>146443.71565600001</v>
      </c>
      <c r="D53" s="77">
        <f t="shared" si="13"/>
        <v>146443.71565600001</v>
      </c>
      <c r="E53" s="77">
        <f t="shared" si="13"/>
        <v>164272.35565600003</v>
      </c>
      <c r="F53" s="77">
        <f t="shared" si="13"/>
        <v>146443.71565600001</v>
      </c>
      <c r="G53" s="77">
        <f t="shared" si="13"/>
        <v>146443.71565600001</v>
      </c>
      <c r="H53" s="77">
        <f t="shared" si="13"/>
        <v>164272.35565600003</v>
      </c>
      <c r="I53" s="77">
        <f t="shared" si="13"/>
        <v>146443.71565600001</v>
      </c>
      <c r="J53" s="77">
        <f t="shared" si="13"/>
        <v>146443.71565600001</v>
      </c>
      <c r="K53" s="77">
        <f t="shared" si="13"/>
        <v>164272.35565600003</v>
      </c>
      <c r="L53" s="77">
        <f t="shared" si="13"/>
        <v>146443.71565600001</v>
      </c>
      <c r="M53" s="77">
        <f t="shared" si="13"/>
        <v>146443.71565600001</v>
      </c>
      <c r="N53" s="77">
        <f t="shared" si="13"/>
        <v>164272.35565600003</v>
      </c>
      <c r="O53" s="77">
        <f t="shared" si="13"/>
        <v>1828639.1478720002</v>
      </c>
      <c r="P53" s="65"/>
    </row>
    <row r="54" spans="1:17" x14ac:dyDescent="0.2">
      <c r="A54" s="35"/>
      <c r="B54" s="70" t="s">
        <v>189</v>
      </c>
      <c r="O54" s="64"/>
      <c r="P54" s="65"/>
    </row>
    <row r="55" spans="1:17" x14ac:dyDescent="0.2">
      <c r="A55" s="35"/>
      <c r="B55" s="82" t="s">
        <v>190</v>
      </c>
      <c r="C55" s="42">
        <f>'Charges d''exploitation'!C57</f>
        <v>150</v>
      </c>
      <c r="D55" s="42">
        <f>'Charges d''exploitation'!D57</f>
        <v>150</v>
      </c>
      <c r="E55" s="42">
        <f>'Charges d''exploitation'!E57</f>
        <v>150</v>
      </c>
      <c r="F55" s="42">
        <f>'Charges d''exploitation'!F57</f>
        <v>150</v>
      </c>
      <c r="G55" s="42">
        <f>'Charges d''exploitation'!G57</f>
        <v>150</v>
      </c>
      <c r="H55" s="42">
        <f>'Charges d''exploitation'!H57</f>
        <v>150</v>
      </c>
      <c r="I55" s="42">
        <f>'Charges d''exploitation'!I57</f>
        <v>150</v>
      </c>
      <c r="J55" s="42">
        <f>'Charges d''exploitation'!J57</f>
        <v>150</v>
      </c>
      <c r="K55" s="42">
        <f>'Charges d''exploitation'!K57</f>
        <v>150</v>
      </c>
      <c r="L55" s="42">
        <f>'Charges d''exploitation'!L57</f>
        <v>150</v>
      </c>
      <c r="M55" s="42">
        <f>'Charges d''exploitation'!M57</f>
        <v>150</v>
      </c>
      <c r="N55" s="42">
        <f>'Charges d''exploitation'!N57</f>
        <v>150</v>
      </c>
      <c r="O55" s="81">
        <f>SUM(C55:N55)</f>
        <v>1800</v>
      </c>
      <c r="P55" s="65">
        <v>0.18</v>
      </c>
      <c r="Q55" s="35">
        <f>+O55*P55</f>
        <v>324</v>
      </c>
    </row>
    <row r="56" spans="1:17" ht="16" x14ac:dyDescent="0.2">
      <c r="A56" s="35"/>
      <c r="B56" s="67" t="s">
        <v>167</v>
      </c>
      <c r="C56" s="42">
        <f>'Charges d''exploitation'!C58</f>
        <v>700</v>
      </c>
      <c r="D56" s="42">
        <f>'Charges d''exploitation'!D58</f>
        <v>700</v>
      </c>
      <c r="E56" s="42">
        <f>'Charges d''exploitation'!E58</f>
        <v>700</v>
      </c>
      <c r="F56" s="42">
        <f>'Charges d''exploitation'!F58</f>
        <v>700</v>
      </c>
      <c r="G56" s="42">
        <f>'Charges d''exploitation'!G58</f>
        <v>700</v>
      </c>
      <c r="H56" s="42">
        <f>'Charges d''exploitation'!H58</f>
        <v>700</v>
      </c>
      <c r="I56" s="42">
        <f>'Charges d''exploitation'!I58</f>
        <v>700</v>
      </c>
      <c r="J56" s="42">
        <f>'Charges d''exploitation'!J58</f>
        <v>700</v>
      </c>
      <c r="K56" s="42">
        <f>'Charges d''exploitation'!K58</f>
        <v>700</v>
      </c>
      <c r="L56" s="42">
        <f>'Charges d''exploitation'!L58</f>
        <v>700</v>
      </c>
      <c r="M56" s="42">
        <f>'Charges d''exploitation'!M58</f>
        <v>700</v>
      </c>
      <c r="N56" s="42">
        <f>'Charges d''exploitation'!N58</f>
        <v>700</v>
      </c>
      <c r="O56" s="81">
        <f>SUM(C56:N56)</f>
        <v>8400</v>
      </c>
      <c r="P56" s="65">
        <v>0.12</v>
      </c>
      <c r="Q56" s="35">
        <f>+O56*P56</f>
        <v>1008</v>
      </c>
    </row>
    <row r="57" spans="1:17" ht="16" x14ac:dyDescent="0.2">
      <c r="A57" s="35"/>
      <c r="B57" s="67" t="s">
        <v>191</v>
      </c>
      <c r="C57" s="42">
        <f>'Charges d''exploitation'!C59</f>
        <v>500</v>
      </c>
      <c r="D57" s="42">
        <f>'Charges d''exploitation'!D59</f>
        <v>500</v>
      </c>
      <c r="E57" s="42">
        <f>'Charges d''exploitation'!E59</f>
        <v>500</v>
      </c>
      <c r="F57" s="42">
        <f>'Charges d''exploitation'!F59</f>
        <v>500</v>
      </c>
      <c r="G57" s="42">
        <f>'Charges d''exploitation'!G59</f>
        <v>500</v>
      </c>
      <c r="H57" s="42">
        <f>'Charges d''exploitation'!H59</f>
        <v>500</v>
      </c>
      <c r="I57" s="42">
        <f>'Charges d''exploitation'!I59</f>
        <v>500</v>
      </c>
      <c r="J57" s="42">
        <f>'Charges d''exploitation'!J59</f>
        <v>500</v>
      </c>
      <c r="K57" s="42">
        <f>'Charges d''exploitation'!K59</f>
        <v>500</v>
      </c>
      <c r="L57" s="42">
        <f>'Charges d''exploitation'!L59</f>
        <v>500</v>
      </c>
      <c r="M57" s="42">
        <f>'Charges d''exploitation'!M59</f>
        <v>500</v>
      </c>
      <c r="N57" s="42">
        <f>'Charges d''exploitation'!N59</f>
        <v>500</v>
      </c>
      <c r="O57" s="81">
        <f>SUM(C57:N57)</f>
        <v>6000</v>
      </c>
      <c r="P57" s="65">
        <v>0.12</v>
      </c>
      <c r="Q57" s="35">
        <f>+O57*P57</f>
        <v>720</v>
      </c>
    </row>
    <row r="58" spans="1:17" x14ac:dyDescent="0.2">
      <c r="A58" s="35"/>
      <c r="B58" s="76" t="s">
        <v>169</v>
      </c>
      <c r="C58" s="78">
        <f t="shared" ref="C58:O58" si="14">SUM(C55:C57)</f>
        <v>1350</v>
      </c>
      <c r="D58" s="78">
        <f t="shared" si="14"/>
        <v>1350</v>
      </c>
      <c r="E58" s="78">
        <f t="shared" si="14"/>
        <v>1350</v>
      </c>
      <c r="F58" s="78">
        <f t="shared" si="14"/>
        <v>1350</v>
      </c>
      <c r="G58" s="78">
        <f t="shared" si="14"/>
        <v>1350</v>
      </c>
      <c r="H58" s="78">
        <f t="shared" si="14"/>
        <v>1350</v>
      </c>
      <c r="I58" s="78">
        <f t="shared" si="14"/>
        <v>1350</v>
      </c>
      <c r="J58" s="78">
        <f t="shared" si="14"/>
        <v>1350</v>
      </c>
      <c r="K58" s="78">
        <f t="shared" si="14"/>
        <v>1350</v>
      </c>
      <c r="L58" s="78">
        <f t="shared" si="14"/>
        <v>1350</v>
      </c>
      <c r="M58" s="78">
        <f t="shared" si="14"/>
        <v>1350</v>
      </c>
      <c r="N58" s="78">
        <f t="shared" si="14"/>
        <v>1350</v>
      </c>
      <c r="O58" s="78">
        <f t="shared" si="14"/>
        <v>16200</v>
      </c>
      <c r="P58" s="78"/>
      <c r="Q58" s="78">
        <f>SUM(Q55:Q57)</f>
        <v>2052</v>
      </c>
    </row>
    <row r="59" spans="1:17" s="35" customFormat="1" x14ac:dyDescent="0.2">
      <c r="B59" s="82" t="s">
        <v>170</v>
      </c>
      <c r="C59" s="43">
        <f>'Charges d''exploitation'!C61</f>
        <v>603.74999999999989</v>
      </c>
      <c r="D59" s="43">
        <f>'Charges d''exploitation'!D61</f>
        <v>603.74999999999989</v>
      </c>
      <c r="E59" s="43">
        <f>'Charges d''exploitation'!E61</f>
        <v>603.74999999999989</v>
      </c>
      <c r="F59" s="43">
        <f>'Charges d''exploitation'!F61</f>
        <v>603.74999999999989</v>
      </c>
      <c r="G59" s="43">
        <f>'Charges d''exploitation'!G61</f>
        <v>603.74999999999989</v>
      </c>
      <c r="H59" s="43">
        <f>'Charges d''exploitation'!H61</f>
        <v>603.74999999999989</v>
      </c>
      <c r="I59" s="43">
        <f>'Charges d''exploitation'!I61</f>
        <v>603.74999999999989</v>
      </c>
      <c r="J59" s="43">
        <f>'Charges d''exploitation'!J61</f>
        <v>603.74999999999989</v>
      </c>
      <c r="K59" s="43">
        <f>'Charges d''exploitation'!K61</f>
        <v>603.74999999999989</v>
      </c>
      <c r="L59" s="43">
        <f>'Charges d''exploitation'!L61</f>
        <v>603.74999999999989</v>
      </c>
      <c r="M59" s="43">
        <f>'Charges d''exploitation'!M61</f>
        <v>603.74999999999989</v>
      </c>
      <c r="N59" s="43">
        <f>'Charges d''exploitation'!N61</f>
        <v>603.74999999999989</v>
      </c>
      <c r="O59" s="40">
        <f>'Frais IBM WATSON'!Y16</f>
        <v>7244.9999999999991</v>
      </c>
      <c r="P59" s="34"/>
      <c r="Q59" s="34"/>
    </row>
    <row r="60" spans="1:17" s="35" customFormat="1" ht="28" x14ac:dyDescent="0.2">
      <c r="B60" s="82" t="s">
        <v>171</v>
      </c>
      <c r="C60" s="43">
        <f>'Charges d''exploitation'!C62</f>
        <v>990.48</v>
      </c>
      <c r="D60" s="43">
        <f>'Charges d''exploitation'!D62</f>
        <v>990.48</v>
      </c>
      <c r="E60" s="43">
        <f>'Charges d''exploitation'!E62</f>
        <v>990.48</v>
      </c>
      <c r="F60" s="43">
        <f>'Charges d''exploitation'!F62</f>
        <v>990.48</v>
      </c>
      <c r="G60" s="43">
        <f>'Charges d''exploitation'!G62</f>
        <v>990.48</v>
      </c>
      <c r="H60" s="43">
        <f>'Charges d''exploitation'!H62</f>
        <v>990.48</v>
      </c>
      <c r="I60" s="43">
        <f>'Charges d''exploitation'!I62</f>
        <v>990.48</v>
      </c>
      <c r="J60" s="43">
        <f>'Charges d''exploitation'!J62</f>
        <v>990.48</v>
      </c>
      <c r="K60" s="43">
        <f>'Charges d''exploitation'!K62</f>
        <v>990.48</v>
      </c>
      <c r="L60" s="43">
        <f>'Charges d''exploitation'!L62</f>
        <v>990.48</v>
      </c>
      <c r="M60" s="43">
        <f>'Charges d''exploitation'!M62</f>
        <v>990.48</v>
      </c>
      <c r="N60" s="43">
        <f>'Charges d''exploitation'!N62</f>
        <v>990.48</v>
      </c>
      <c r="O60" s="40">
        <f>'Frais Readspeaker'!C4</f>
        <v>11885.76</v>
      </c>
      <c r="P60" s="34"/>
      <c r="Q60" s="34"/>
    </row>
    <row r="61" spans="1:17" s="35" customFormat="1" x14ac:dyDescent="0.2">
      <c r="B61" s="82" t="s">
        <v>172</v>
      </c>
      <c r="C61" s="43">
        <f>'Charges d''exploitation'!C63</f>
        <v>0</v>
      </c>
      <c r="D61" s="43">
        <f>'Charges d''exploitation'!D63</f>
        <v>0</v>
      </c>
      <c r="E61" s="43">
        <f>'Charges d''exploitation'!E63</f>
        <v>11885.76</v>
      </c>
      <c r="F61" s="43">
        <f>'Charges d''exploitation'!F63</f>
        <v>0</v>
      </c>
      <c r="G61" s="43">
        <f>'Charges d''exploitation'!G63</f>
        <v>0</v>
      </c>
      <c r="H61" s="43">
        <f>'Charges d''exploitation'!H63</f>
        <v>11885.76</v>
      </c>
      <c r="I61" s="43">
        <f>'Charges d''exploitation'!I63</f>
        <v>0</v>
      </c>
      <c r="J61" s="43">
        <f>'Charges d''exploitation'!J63</f>
        <v>0</v>
      </c>
      <c r="K61" s="43">
        <f>'Charges d''exploitation'!K63</f>
        <v>11885.76</v>
      </c>
      <c r="L61" s="43">
        <f>'Charges d''exploitation'!L63</f>
        <v>0</v>
      </c>
      <c r="M61" s="43">
        <f>'Charges d''exploitation'!M63</f>
        <v>0</v>
      </c>
      <c r="N61" s="43">
        <f>'Charges d''exploitation'!N63</f>
        <v>0</v>
      </c>
      <c r="O61" s="40">
        <f t="shared" ref="O61:O69" si="15">SUM(C61:N61)</f>
        <v>35657.279999999999</v>
      </c>
      <c r="P61" s="34"/>
      <c r="Q61" s="34"/>
    </row>
    <row r="62" spans="1:17" s="35" customFormat="1" ht="28" x14ac:dyDescent="0.2">
      <c r="B62" s="82" t="s">
        <v>192</v>
      </c>
      <c r="C62" s="43">
        <f>'Charges d''exploitation'!C64</f>
        <v>420</v>
      </c>
      <c r="D62" s="43">
        <f>'Charges d''exploitation'!D64</f>
        <v>420</v>
      </c>
      <c r="E62" s="43">
        <f>'Charges d''exploitation'!E64</f>
        <v>420</v>
      </c>
      <c r="F62" s="43">
        <f>'Charges d''exploitation'!F64</f>
        <v>420</v>
      </c>
      <c r="G62" s="43">
        <f>'Charges d''exploitation'!G64</f>
        <v>420</v>
      </c>
      <c r="H62" s="43">
        <f>'Charges d''exploitation'!H64</f>
        <v>420</v>
      </c>
      <c r="I62" s="43">
        <f>'Charges d''exploitation'!I64</f>
        <v>420</v>
      </c>
      <c r="J62" s="43">
        <f>'Charges d''exploitation'!J64</f>
        <v>420</v>
      </c>
      <c r="K62" s="43">
        <f>'Charges d''exploitation'!K64</f>
        <v>420</v>
      </c>
      <c r="L62" s="43">
        <f>'Charges d''exploitation'!L64</f>
        <v>420</v>
      </c>
      <c r="M62" s="43">
        <f>'Charges d''exploitation'!M64</f>
        <v>420</v>
      </c>
      <c r="N62" s="43">
        <f>'Charges d''exploitation'!N64</f>
        <v>420</v>
      </c>
      <c r="O62" s="39">
        <f t="shared" si="15"/>
        <v>5040</v>
      </c>
      <c r="P62" s="34"/>
      <c r="Q62" s="34"/>
    </row>
    <row r="63" spans="1:17" ht="26.25" customHeight="1" x14ac:dyDescent="0.2">
      <c r="A63" s="35"/>
      <c r="B63" s="82" t="s">
        <v>174</v>
      </c>
      <c r="C63" s="43">
        <f>'Charges d''exploitation'!C65</f>
        <v>150</v>
      </c>
      <c r="D63" s="43">
        <f>'Charges d''exploitation'!D65</f>
        <v>150</v>
      </c>
      <c r="E63" s="43">
        <f>'Charges d''exploitation'!E65</f>
        <v>150</v>
      </c>
      <c r="F63" s="43">
        <f>'Charges d''exploitation'!F65</f>
        <v>150</v>
      </c>
      <c r="G63" s="43">
        <f>'Charges d''exploitation'!G65</f>
        <v>150</v>
      </c>
      <c r="H63" s="43">
        <f>'Charges d''exploitation'!H65</f>
        <v>150</v>
      </c>
      <c r="I63" s="43">
        <f>'Charges d''exploitation'!I65</f>
        <v>150</v>
      </c>
      <c r="J63" s="43">
        <f>'Charges d''exploitation'!J65</f>
        <v>150</v>
      </c>
      <c r="K63" s="43">
        <f>'Charges d''exploitation'!K65</f>
        <v>150</v>
      </c>
      <c r="L63" s="43">
        <f>'Charges d''exploitation'!L65</f>
        <v>150</v>
      </c>
      <c r="M63" s="43">
        <f>'Charges d''exploitation'!M65</f>
        <v>150</v>
      </c>
      <c r="N63" s="43">
        <f>'Charges d''exploitation'!N65</f>
        <v>150</v>
      </c>
      <c r="O63" s="81">
        <f t="shared" si="15"/>
        <v>1800</v>
      </c>
      <c r="P63" s="34"/>
      <c r="Q63" s="34"/>
    </row>
    <row r="64" spans="1:17" x14ac:dyDescent="0.2">
      <c r="A64" s="35"/>
      <c r="B64" s="82" t="s">
        <v>175</v>
      </c>
      <c r="C64" s="43">
        <f>'Charges d''exploitation'!C66</f>
        <v>100</v>
      </c>
      <c r="D64" s="43">
        <f>'Charges d''exploitation'!D66</f>
        <v>100</v>
      </c>
      <c r="E64" s="43">
        <f>'Charges d''exploitation'!E66</f>
        <v>100</v>
      </c>
      <c r="F64" s="43">
        <f>'Charges d''exploitation'!F66</f>
        <v>100</v>
      </c>
      <c r="G64" s="43">
        <f>'Charges d''exploitation'!G66</f>
        <v>100</v>
      </c>
      <c r="H64" s="43">
        <f>'Charges d''exploitation'!H66</f>
        <v>100</v>
      </c>
      <c r="I64" s="43">
        <f>'Charges d''exploitation'!I66</f>
        <v>100</v>
      </c>
      <c r="J64" s="43">
        <f>'Charges d''exploitation'!J66</f>
        <v>100</v>
      </c>
      <c r="K64" s="43">
        <f>'Charges d''exploitation'!K66</f>
        <v>100</v>
      </c>
      <c r="L64" s="43">
        <f>'Charges d''exploitation'!L66</f>
        <v>100</v>
      </c>
      <c r="M64" s="43">
        <f>'Charges d''exploitation'!M66</f>
        <v>100</v>
      </c>
      <c r="N64" s="43">
        <f>'Charges d''exploitation'!N66</f>
        <v>100</v>
      </c>
      <c r="O64" s="81">
        <f t="shared" si="15"/>
        <v>1200</v>
      </c>
      <c r="P64" s="34"/>
      <c r="Q64" s="34"/>
    </row>
    <row r="65" spans="1:17" s="35" customFormat="1" ht="16" x14ac:dyDescent="0.2">
      <c r="B65" s="67" t="s">
        <v>176</v>
      </c>
      <c r="C65" s="43">
        <f>'Charges d''exploitation'!C67</f>
        <v>4200</v>
      </c>
      <c r="D65" s="43">
        <f>'Charges d''exploitation'!D67</f>
        <v>4200</v>
      </c>
      <c r="E65" s="43">
        <f>'Charges d''exploitation'!E67</f>
        <v>4200</v>
      </c>
      <c r="F65" s="43">
        <f>'Charges d''exploitation'!F67</f>
        <v>4200</v>
      </c>
      <c r="G65" s="43">
        <f>'Charges d''exploitation'!G67</f>
        <v>4200</v>
      </c>
      <c r="H65" s="43">
        <f>'Charges d''exploitation'!H67</f>
        <v>4200</v>
      </c>
      <c r="I65" s="43">
        <f>'Charges d''exploitation'!I67</f>
        <v>4200</v>
      </c>
      <c r="J65" s="43">
        <f>'Charges d''exploitation'!J67</f>
        <v>4200</v>
      </c>
      <c r="K65" s="43">
        <f>'Charges d''exploitation'!K67</f>
        <v>4200</v>
      </c>
      <c r="L65" s="43">
        <f>'Charges d''exploitation'!L67</f>
        <v>4200</v>
      </c>
      <c r="M65" s="43">
        <f>'Charges d''exploitation'!M67</f>
        <v>4200</v>
      </c>
      <c r="N65" s="43">
        <f>'Charges d''exploitation'!N67</f>
        <v>4200</v>
      </c>
      <c r="O65" s="81">
        <f t="shared" si="15"/>
        <v>50400</v>
      </c>
      <c r="P65" s="65">
        <v>0.12</v>
      </c>
      <c r="Q65" s="35">
        <f>+O65*P65</f>
        <v>6048</v>
      </c>
    </row>
    <row r="66" spans="1:17" s="35" customFormat="1" ht="12.75" customHeight="1" x14ac:dyDescent="0.2">
      <c r="B66" s="82" t="s">
        <v>177</v>
      </c>
      <c r="C66" s="43">
        <f>'Charges d''exploitation'!C68</f>
        <v>300</v>
      </c>
      <c r="D66" s="43">
        <f>'Charges d''exploitation'!D68</f>
        <v>300</v>
      </c>
      <c r="E66" s="43">
        <f>'Charges d''exploitation'!E68</f>
        <v>300</v>
      </c>
      <c r="F66" s="43">
        <f>'Charges d''exploitation'!F68</f>
        <v>300</v>
      </c>
      <c r="G66" s="43">
        <f>'Charges d''exploitation'!G68</f>
        <v>300</v>
      </c>
      <c r="H66" s="43">
        <f>'Charges d''exploitation'!H68</f>
        <v>300</v>
      </c>
      <c r="I66" s="43">
        <f>'Charges d''exploitation'!I68</f>
        <v>300</v>
      </c>
      <c r="J66" s="43">
        <f>'Charges d''exploitation'!J68</f>
        <v>300</v>
      </c>
      <c r="K66" s="43">
        <f>'Charges d''exploitation'!K68</f>
        <v>300</v>
      </c>
      <c r="L66" s="43">
        <f>'Charges d''exploitation'!L68</f>
        <v>300</v>
      </c>
      <c r="M66" s="43">
        <f>'Charges d''exploitation'!M68</f>
        <v>300</v>
      </c>
      <c r="N66" s="43">
        <f>'Charges d''exploitation'!N68</f>
        <v>300</v>
      </c>
      <c r="O66" s="81">
        <f t="shared" si="15"/>
        <v>3600</v>
      </c>
      <c r="P66" s="65">
        <v>0.12</v>
      </c>
      <c r="Q66" s="35">
        <f>+O66*P66</f>
        <v>432</v>
      </c>
    </row>
    <row r="67" spans="1:17" ht="12.75" customHeight="1" x14ac:dyDescent="0.2">
      <c r="A67" s="35"/>
      <c r="B67" s="67" t="s">
        <v>178</v>
      </c>
      <c r="C67" s="43">
        <f>'Charges d''exploitation'!C69</f>
        <v>800</v>
      </c>
      <c r="D67" s="43">
        <f>'Charges d''exploitation'!D69</f>
        <v>800</v>
      </c>
      <c r="E67" s="43">
        <f>'Charges d''exploitation'!E69</f>
        <v>800</v>
      </c>
      <c r="F67" s="43">
        <f>'Charges d''exploitation'!F69</f>
        <v>800</v>
      </c>
      <c r="G67" s="43">
        <f>'Charges d''exploitation'!G69</f>
        <v>800</v>
      </c>
      <c r="H67" s="43">
        <f>'Charges d''exploitation'!H69</f>
        <v>800</v>
      </c>
      <c r="I67" s="43">
        <f>'Charges d''exploitation'!I69</f>
        <v>800</v>
      </c>
      <c r="J67" s="43">
        <f>'Charges d''exploitation'!J69</f>
        <v>800</v>
      </c>
      <c r="K67" s="43">
        <f>'Charges d''exploitation'!K69</f>
        <v>800</v>
      </c>
      <c r="L67" s="43">
        <f>'Charges d''exploitation'!L69</f>
        <v>800</v>
      </c>
      <c r="M67" s="43">
        <f>'Charges d''exploitation'!M69</f>
        <v>800</v>
      </c>
      <c r="N67" s="43">
        <f>'Charges d''exploitation'!N69</f>
        <v>800</v>
      </c>
      <c r="O67" s="81">
        <f t="shared" si="15"/>
        <v>9600</v>
      </c>
      <c r="P67" s="65">
        <v>0.18</v>
      </c>
      <c r="Q67" s="35">
        <f>+O67*P67</f>
        <v>1728</v>
      </c>
    </row>
    <row r="68" spans="1:17" s="102" customFormat="1" ht="12.75" customHeight="1" x14ac:dyDescent="0.2">
      <c r="B68" s="103" t="s">
        <v>193</v>
      </c>
      <c r="C68" s="43">
        <f>'Charges d''exploitation'!C70</f>
        <v>1000</v>
      </c>
      <c r="D68" s="43">
        <f>'Charges d''exploitation'!D70</f>
        <v>0</v>
      </c>
      <c r="E68" s="43">
        <f>'Charges d''exploitation'!E70</f>
        <v>5500</v>
      </c>
      <c r="F68" s="43">
        <f>'Charges d''exploitation'!F70</f>
        <v>0</v>
      </c>
      <c r="G68" s="43">
        <f>'Charges d''exploitation'!G70</f>
        <v>0</v>
      </c>
      <c r="H68" s="43">
        <f>'Charges d''exploitation'!H70</f>
        <v>0</v>
      </c>
      <c r="I68" s="43">
        <f>'Charges d''exploitation'!I70</f>
        <v>0</v>
      </c>
      <c r="J68" s="43">
        <f>'Charges d''exploitation'!J70</f>
        <v>0</v>
      </c>
      <c r="K68" s="43">
        <f>'Charges d''exploitation'!K70</f>
        <v>0</v>
      </c>
      <c r="L68" s="43">
        <f>'Charges d''exploitation'!L70</f>
        <v>0</v>
      </c>
      <c r="M68" s="43">
        <f>'Charges d''exploitation'!M70</f>
        <v>0</v>
      </c>
      <c r="N68" s="43">
        <f>'Charges d''exploitation'!N70</f>
        <v>0</v>
      </c>
      <c r="O68" s="105">
        <f t="shared" si="15"/>
        <v>6500</v>
      </c>
      <c r="P68" s="106">
        <v>0.18</v>
      </c>
      <c r="Q68" s="102">
        <f>+O68*P68</f>
        <v>1170</v>
      </c>
    </row>
    <row r="69" spans="1:17" s="35" customFormat="1" ht="12.75" customHeight="1" x14ac:dyDescent="0.2">
      <c r="B69" s="82" t="s">
        <v>180</v>
      </c>
      <c r="C69" s="43">
        <f>'Charges d''exploitation'!C71</f>
        <v>0</v>
      </c>
      <c r="D69" s="43">
        <f>'Charges d''exploitation'!D71</f>
        <v>0</v>
      </c>
      <c r="E69" s="43">
        <f>'Charges d''exploitation'!E71</f>
        <v>3550</v>
      </c>
      <c r="F69" s="43">
        <f>'Charges d''exploitation'!F71</f>
        <v>0</v>
      </c>
      <c r="G69" s="43">
        <f>'Charges d''exploitation'!G71</f>
        <v>0</v>
      </c>
      <c r="H69" s="43">
        <f>'Charges d''exploitation'!H71</f>
        <v>5350</v>
      </c>
      <c r="I69" s="43">
        <f>'Charges d''exploitation'!I71</f>
        <v>0</v>
      </c>
      <c r="J69" s="43">
        <f>'Charges d''exploitation'!J71</f>
        <v>0</v>
      </c>
      <c r="K69" s="43">
        <f>'Charges d''exploitation'!K71</f>
        <v>4250</v>
      </c>
      <c r="L69" s="43">
        <f>'Charges d''exploitation'!L71</f>
        <v>0</v>
      </c>
      <c r="M69" s="43">
        <f>'Charges d''exploitation'!M71</f>
        <v>0</v>
      </c>
      <c r="N69" s="43">
        <f>'Charges d''exploitation'!N71</f>
        <v>9350</v>
      </c>
      <c r="O69" s="81">
        <f t="shared" si="15"/>
        <v>22500</v>
      </c>
      <c r="P69" s="65">
        <v>0.12</v>
      </c>
      <c r="Q69" s="35">
        <f>+O69*P69</f>
        <v>2700</v>
      </c>
    </row>
    <row r="70" spans="1:17" ht="12.75" customHeight="1" x14ac:dyDescent="0.2">
      <c r="A70" s="35"/>
      <c r="B70" s="76" t="s">
        <v>181</v>
      </c>
      <c r="C70" s="77">
        <f t="shared" ref="C70:O70" si="16">SUM(C59:C69)</f>
        <v>8564.23</v>
      </c>
      <c r="D70" s="77">
        <f t="shared" si="16"/>
        <v>7564.23</v>
      </c>
      <c r="E70" s="77">
        <f t="shared" si="16"/>
        <v>28499.989999999998</v>
      </c>
      <c r="F70" s="77">
        <f t="shared" si="16"/>
        <v>7564.23</v>
      </c>
      <c r="G70" s="77">
        <f t="shared" si="16"/>
        <v>7564.23</v>
      </c>
      <c r="H70" s="77">
        <f t="shared" si="16"/>
        <v>24799.989999999998</v>
      </c>
      <c r="I70" s="77">
        <f t="shared" si="16"/>
        <v>7564.23</v>
      </c>
      <c r="J70" s="77">
        <f t="shared" si="16"/>
        <v>7564.23</v>
      </c>
      <c r="K70" s="77">
        <f t="shared" si="16"/>
        <v>23699.989999999998</v>
      </c>
      <c r="L70" s="77">
        <f t="shared" si="16"/>
        <v>7564.23</v>
      </c>
      <c r="M70" s="77">
        <f t="shared" si="16"/>
        <v>7564.23</v>
      </c>
      <c r="N70" s="77">
        <f t="shared" si="16"/>
        <v>16914.23</v>
      </c>
      <c r="O70" s="77">
        <f t="shared" si="16"/>
        <v>155428.03999999998</v>
      </c>
      <c r="P70" s="65"/>
      <c r="Q70" s="78">
        <f>SUM(Q65:Q69)</f>
        <v>12078</v>
      </c>
    </row>
    <row r="71" spans="1:17" ht="27" customHeight="1" x14ac:dyDescent="0.2">
      <c r="A71" s="35"/>
      <c r="B71" s="88" t="s">
        <v>183</v>
      </c>
      <c r="C71" s="89">
        <f t="shared" ref="C71:O71" si="17">C58+C70</f>
        <v>9914.23</v>
      </c>
      <c r="D71" s="89">
        <f t="shared" si="17"/>
        <v>8914.23</v>
      </c>
      <c r="E71" s="89">
        <f t="shared" si="17"/>
        <v>29849.989999999998</v>
      </c>
      <c r="F71" s="89">
        <f t="shared" si="17"/>
        <v>8914.23</v>
      </c>
      <c r="G71" s="89">
        <f t="shared" si="17"/>
        <v>8914.23</v>
      </c>
      <c r="H71" s="89">
        <f t="shared" si="17"/>
        <v>26149.989999999998</v>
      </c>
      <c r="I71" s="89">
        <f t="shared" si="17"/>
        <v>8914.23</v>
      </c>
      <c r="J71" s="89">
        <f t="shared" si="17"/>
        <v>8914.23</v>
      </c>
      <c r="K71" s="89">
        <f t="shared" si="17"/>
        <v>25049.989999999998</v>
      </c>
      <c r="L71" s="89">
        <f t="shared" si="17"/>
        <v>8914.23</v>
      </c>
      <c r="M71" s="89">
        <f t="shared" si="17"/>
        <v>8914.23</v>
      </c>
      <c r="N71" s="89">
        <f t="shared" si="17"/>
        <v>18264.23</v>
      </c>
      <c r="O71" s="89">
        <f t="shared" si="17"/>
        <v>171628.03999999998</v>
      </c>
      <c r="P71" s="65"/>
    </row>
    <row r="72" spans="1:17" ht="29.25" customHeight="1" x14ac:dyDescent="0.2">
      <c r="A72" s="86"/>
      <c r="B72" s="76" t="s">
        <v>216</v>
      </c>
      <c r="C72" s="77">
        <f t="shared" ref="C72:N72" si="18">$O$72/12</f>
        <v>31600.384615384613</v>
      </c>
      <c r="D72" s="77">
        <f t="shared" si="18"/>
        <v>31600.384615384613</v>
      </c>
      <c r="E72" s="77">
        <f t="shared" si="18"/>
        <v>31600.384615384613</v>
      </c>
      <c r="F72" s="77">
        <f t="shared" si="18"/>
        <v>31600.384615384613</v>
      </c>
      <c r="G72" s="77">
        <f t="shared" si="18"/>
        <v>31600.384615384613</v>
      </c>
      <c r="H72" s="77">
        <f t="shared" si="18"/>
        <v>31600.384615384613</v>
      </c>
      <c r="I72" s="77">
        <f t="shared" si="18"/>
        <v>31600.384615384613</v>
      </c>
      <c r="J72" s="77">
        <f t="shared" si="18"/>
        <v>31600.384615384613</v>
      </c>
      <c r="K72" s="77">
        <f t="shared" si="18"/>
        <v>31600.384615384613</v>
      </c>
      <c r="L72" s="77">
        <f t="shared" si="18"/>
        <v>31600.384615384613</v>
      </c>
      <c r="M72" s="77">
        <f t="shared" si="18"/>
        <v>31600.384615384613</v>
      </c>
      <c r="N72" s="77">
        <f t="shared" si="18"/>
        <v>31600.384615384613</v>
      </c>
      <c r="O72" s="77">
        <f>'Budget RH en nombre TTC'!E50</f>
        <v>379204.61538461538</v>
      </c>
      <c r="P72" s="65"/>
      <c r="Q72" s="87"/>
    </row>
    <row r="73" spans="1:17" x14ac:dyDescent="0.2">
      <c r="A73" s="86"/>
      <c r="B73" s="76" t="s">
        <v>134</v>
      </c>
      <c r="C73" s="77">
        <f>'Budget RH en nombre TTC'!C52</f>
        <v>23271.923076923078</v>
      </c>
      <c r="D73" s="78"/>
      <c r="E73" s="78"/>
      <c r="F73" s="77">
        <f>'Budget RH en nombre TTC'!E52</f>
        <v>28440.346153846156</v>
      </c>
      <c r="G73" s="78"/>
      <c r="H73" s="78"/>
      <c r="I73" s="77">
        <f>'Budget RH en nombre TTC'!E52</f>
        <v>28440.346153846156</v>
      </c>
      <c r="J73" s="78"/>
      <c r="K73" s="78"/>
      <c r="L73" s="77">
        <f>'Budget RH en nombre TTC'!E52</f>
        <v>28440.346153846156</v>
      </c>
      <c r="M73" s="78"/>
      <c r="N73" s="78"/>
      <c r="O73" s="77">
        <f>SUM(C73:N73)</f>
        <v>108592.96153846155</v>
      </c>
      <c r="P73" s="65"/>
      <c r="Q73" s="87"/>
    </row>
    <row r="74" spans="1:17" x14ac:dyDescent="0.2">
      <c r="A74" s="86"/>
      <c r="B74" s="76" t="s">
        <v>217</v>
      </c>
      <c r="C74" s="78"/>
      <c r="D74" s="78"/>
      <c r="E74" s="78"/>
      <c r="F74" s="78"/>
      <c r="G74" s="77">
        <f>'CASH FLOW - TRESORERIE'!F33</f>
        <v>88371.01803799998</v>
      </c>
      <c r="H74" s="78"/>
      <c r="I74" s="78"/>
      <c r="J74" s="78"/>
      <c r="K74" s="78"/>
      <c r="L74" s="78"/>
      <c r="M74" s="78"/>
      <c r="N74" s="78"/>
      <c r="O74" s="78"/>
      <c r="P74" s="65"/>
      <c r="Q74" s="87"/>
    </row>
    <row r="75" spans="1:17" x14ac:dyDescent="0.2">
      <c r="A75" s="86"/>
      <c r="B75" s="76" t="s">
        <v>223</v>
      </c>
      <c r="C75" s="77">
        <f>O75/12</f>
        <v>24080.866618080003</v>
      </c>
      <c r="D75" s="77">
        <f t="shared" ref="D75:N75" si="19">$O$75/12</f>
        <v>24080.866618080003</v>
      </c>
      <c r="E75" s="77">
        <f t="shared" si="19"/>
        <v>24080.866618080003</v>
      </c>
      <c r="F75" s="77">
        <f t="shared" si="19"/>
        <v>24080.866618080003</v>
      </c>
      <c r="G75" s="77">
        <f t="shared" si="19"/>
        <v>24080.866618080003</v>
      </c>
      <c r="H75" s="77">
        <f t="shared" si="19"/>
        <v>24080.866618080003</v>
      </c>
      <c r="I75" s="77">
        <f t="shared" si="19"/>
        <v>24080.866618080003</v>
      </c>
      <c r="J75" s="77">
        <f t="shared" si="19"/>
        <v>24080.866618080003</v>
      </c>
      <c r="K75" s="77">
        <f t="shared" si="19"/>
        <v>24080.866618080003</v>
      </c>
      <c r="L75" s="77">
        <f t="shared" si="19"/>
        <v>24080.866618080003</v>
      </c>
      <c r="M75" s="77">
        <f t="shared" si="19"/>
        <v>24080.866618080003</v>
      </c>
      <c r="N75" s="77">
        <f t="shared" si="19"/>
        <v>24080.866618080003</v>
      </c>
      <c r="O75" s="77">
        <f>'Calcul de TVA à payer'!E35</f>
        <v>288970.39941696002</v>
      </c>
      <c r="P75" s="65"/>
      <c r="Q75" s="87"/>
    </row>
    <row r="76" spans="1:17" x14ac:dyDescent="0.2">
      <c r="B76" s="88" t="s">
        <v>219</v>
      </c>
      <c r="C76" s="89">
        <f t="shared" ref="C76:O76" si="20">C53-C71-C72-C73-C74-C75</f>
        <v>57576.31134561231</v>
      </c>
      <c r="D76" s="89">
        <f t="shared" si="20"/>
        <v>81848.234422535388</v>
      </c>
      <c r="E76" s="89">
        <f t="shared" si="20"/>
        <v>78741.114422535422</v>
      </c>
      <c r="F76" s="89">
        <f t="shared" si="20"/>
        <v>53407.888268689232</v>
      </c>
      <c r="G76" s="89">
        <f t="shared" si="20"/>
        <v>-6522.7836154645884</v>
      </c>
      <c r="H76" s="89">
        <f t="shared" si="20"/>
        <v>82441.114422535422</v>
      </c>
      <c r="I76" s="89">
        <f t="shared" si="20"/>
        <v>53407.888268689232</v>
      </c>
      <c r="J76" s="89">
        <f t="shared" si="20"/>
        <v>81848.234422535388</v>
      </c>
      <c r="K76" s="89">
        <f t="shared" si="20"/>
        <v>83541.114422535422</v>
      </c>
      <c r="L76" s="89">
        <f t="shared" si="20"/>
        <v>53407.888268689232</v>
      </c>
      <c r="M76" s="89">
        <f t="shared" si="20"/>
        <v>81848.234422535388</v>
      </c>
      <c r="N76" s="89">
        <f t="shared" si="20"/>
        <v>90326.874422535402</v>
      </c>
      <c r="O76" s="89">
        <f t="shared" si="20"/>
        <v>880243.13153196336</v>
      </c>
      <c r="P76" s="69"/>
    </row>
    <row r="77" spans="1:17" x14ac:dyDescent="0.2">
      <c r="B77" s="88" t="s">
        <v>220</v>
      </c>
      <c r="C77" s="89">
        <f>C76</f>
        <v>57576.31134561231</v>
      </c>
      <c r="D77" s="89">
        <f t="shared" ref="D77:N77" si="21">D76+C77</f>
        <v>139424.54576814768</v>
      </c>
      <c r="E77" s="89">
        <f t="shared" si="21"/>
        <v>218165.66019068309</v>
      </c>
      <c r="F77" s="89">
        <f t="shared" si="21"/>
        <v>271573.54845937231</v>
      </c>
      <c r="G77" s="89">
        <f t="shared" si="21"/>
        <v>265050.76484390773</v>
      </c>
      <c r="H77" s="89">
        <f t="shared" si="21"/>
        <v>347491.87926644314</v>
      </c>
      <c r="I77" s="89">
        <f t="shared" si="21"/>
        <v>400899.76753513236</v>
      </c>
      <c r="J77" s="89">
        <f t="shared" si="21"/>
        <v>482748.00195766776</v>
      </c>
      <c r="K77" s="89">
        <f t="shared" si="21"/>
        <v>566289.11638020317</v>
      </c>
      <c r="L77" s="89">
        <f t="shared" si="21"/>
        <v>619697.00464889244</v>
      </c>
      <c r="M77" s="89">
        <f t="shared" si="21"/>
        <v>701545.23907142784</v>
      </c>
      <c r="N77" s="89">
        <f t="shared" si="21"/>
        <v>791872.11349396326</v>
      </c>
      <c r="O77" s="89"/>
      <c r="P77" s="69"/>
    </row>
    <row r="78" spans="1:17" x14ac:dyDescent="0.2">
      <c r="B78" s="66"/>
      <c r="O78" s="64"/>
      <c r="P78" s="65"/>
    </row>
    <row r="79" spans="1:17" x14ac:dyDescent="0.2">
      <c r="B79" s="66"/>
      <c r="O79" s="64"/>
      <c r="P79" s="65"/>
    </row>
    <row r="80" spans="1:17" s="35" customFormat="1" ht="20.25" customHeight="1" x14ac:dyDescent="0.2">
      <c r="B80" s="211" t="s">
        <v>224</v>
      </c>
      <c r="C80" s="211"/>
      <c r="D80" s="211"/>
      <c r="E80" s="211"/>
      <c r="F80" s="211"/>
      <c r="G80" s="211"/>
      <c r="H80" s="211"/>
      <c r="I80" s="211"/>
      <c r="J80" s="211"/>
      <c r="K80" s="211"/>
      <c r="L80" s="211"/>
      <c r="O80" s="64"/>
      <c r="P80" s="65"/>
    </row>
    <row r="81" spans="1:17" s="35" customFormat="1" x14ac:dyDescent="0.2">
      <c r="B81" s="66"/>
      <c r="O81" s="64"/>
      <c r="P81" s="65"/>
    </row>
    <row r="82" spans="1:17" x14ac:dyDescent="0.2">
      <c r="A82" s="35"/>
      <c r="B82" s="98"/>
      <c r="C82" s="39" t="s">
        <v>145</v>
      </c>
      <c r="D82" s="39" t="s">
        <v>146</v>
      </c>
      <c r="E82" s="39" t="s">
        <v>147</v>
      </c>
      <c r="F82" s="39" t="s">
        <v>148</v>
      </c>
      <c r="G82" s="39" t="s">
        <v>149</v>
      </c>
      <c r="H82" s="39" t="s">
        <v>150</v>
      </c>
      <c r="I82" s="39" t="s">
        <v>151</v>
      </c>
      <c r="J82" s="39" t="s">
        <v>152</v>
      </c>
      <c r="K82" s="39" t="s">
        <v>153</v>
      </c>
      <c r="L82" s="39" t="s">
        <v>154</v>
      </c>
      <c r="M82" s="39" t="s">
        <v>155</v>
      </c>
      <c r="N82" s="39" t="s">
        <v>156</v>
      </c>
      <c r="O82" s="68" t="s">
        <v>157</v>
      </c>
      <c r="P82" s="108" t="s">
        <v>107</v>
      </c>
    </row>
    <row r="83" spans="1:17" x14ac:dyDescent="0.2">
      <c r="A83" s="35"/>
      <c r="B83" s="70" t="s">
        <v>197</v>
      </c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80"/>
      <c r="P83" s="65"/>
    </row>
    <row r="84" spans="1:17" x14ac:dyDescent="0.2">
      <c r="A84" s="35"/>
      <c r="B84" s="82" t="s">
        <v>159</v>
      </c>
      <c r="C84" s="15">
        <f>'Charges d''exploitation'!C92</f>
        <v>96330</v>
      </c>
      <c r="D84" s="15">
        <f>'Charges d''exploitation'!D92</f>
        <v>96330</v>
      </c>
      <c r="E84" s="15">
        <f>'Charges d''exploitation'!E92</f>
        <v>96330</v>
      </c>
      <c r="F84" s="15">
        <f>'Charges d''exploitation'!F92</f>
        <v>96330</v>
      </c>
      <c r="G84" s="15">
        <f>'Charges d''exploitation'!G92</f>
        <v>96330</v>
      </c>
      <c r="H84" s="15">
        <f>'Charges d''exploitation'!H92</f>
        <v>96330</v>
      </c>
      <c r="I84" s="15">
        <f>'Charges d''exploitation'!I92</f>
        <v>96330</v>
      </c>
      <c r="J84" s="15">
        <f>'Charges d''exploitation'!J92</f>
        <v>96330</v>
      </c>
      <c r="K84" s="15">
        <f>'Charges d''exploitation'!K92</f>
        <v>96330</v>
      </c>
      <c r="L84" s="15">
        <f>'Charges d''exploitation'!L92</f>
        <v>96330</v>
      </c>
      <c r="M84" s="15">
        <f>'Charges d''exploitation'!M92</f>
        <v>96330</v>
      </c>
      <c r="N84" s="15">
        <f>'Charges d''exploitation'!N92</f>
        <v>96330</v>
      </c>
      <c r="O84" s="100">
        <f>SUM(C84:N84)</f>
        <v>1155960</v>
      </c>
      <c r="P84" s="65"/>
    </row>
    <row r="85" spans="1:17" x14ac:dyDescent="0.2">
      <c r="A85" s="35"/>
      <c r="B85" s="82" t="s">
        <v>160</v>
      </c>
      <c r="C85" s="15">
        <f>'Charges d''exploitation'!C93</f>
        <v>33586.892352000003</v>
      </c>
      <c r="D85" s="15">
        <f>'Charges d''exploitation'!D93</f>
        <v>33586.892352000003</v>
      </c>
      <c r="E85" s="15">
        <f>'Charges d''exploitation'!E93</f>
        <v>33586.892352000003</v>
      </c>
      <c r="F85" s="15">
        <f>'Charges d''exploitation'!F93</f>
        <v>33586.892352000003</v>
      </c>
      <c r="G85" s="15">
        <f>'Charges d''exploitation'!G93</f>
        <v>33586.892352000003</v>
      </c>
      <c r="H85" s="15">
        <f>'Charges d''exploitation'!H93</f>
        <v>33586.892352000003</v>
      </c>
      <c r="I85" s="15">
        <f>'Charges d''exploitation'!I93</f>
        <v>33586.892352000003</v>
      </c>
      <c r="J85" s="15">
        <f>'Charges d''exploitation'!J93</f>
        <v>33586.892352000003</v>
      </c>
      <c r="K85" s="15">
        <f>'Charges d''exploitation'!K93</f>
        <v>33586.892352000003</v>
      </c>
      <c r="L85" s="15">
        <f>'Charges d''exploitation'!L93</f>
        <v>33586.892352000003</v>
      </c>
      <c r="M85" s="15">
        <f>'Charges d''exploitation'!M93</f>
        <v>33586.892352000003</v>
      </c>
      <c r="N85" s="15">
        <f>'Charges d''exploitation'!N93</f>
        <v>33586.892352000003</v>
      </c>
      <c r="O85" s="100">
        <f>SUM(C85:N85)</f>
        <v>403042.708224</v>
      </c>
      <c r="P85" s="65"/>
    </row>
    <row r="86" spans="1:17" x14ac:dyDescent="0.2">
      <c r="A86" s="35"/>
      <c r="B86" s="82" t="s">
        <v>161</v>
      </c>
      <c r="C86" s="15">
        <f>'Charges d''exploitation'!C94</f>
        <v>29640</v>
      </c>
      <c r="D86" s="15">
        <f>'Charges d''exploitation'!D94</f>
        <v>29640</v>
      </c>
      <c r="E86" s="15">
        <f>'Charges d''exploitation'!E94</f>
        <v>29640</v>
      </c>
      <c r="F86" s="15">
        <f>'Charges d''exploitation'!F94</f>
        <v>29640</v>
      </c>
      <c r="G86" s="15">
        <f>'Charges d''exploitation'!G94</f>
        <v>29640</v>
      </c>
      <c r="H86" s="15">
        <f>'Charges d''exploitation'!H94</f>
        <v>29640</v>
      </c>
      <c r="I86" s="15">
        <f>'Charges d''exploitation'!I94</f>
        <v>29640</v>
      </c>
      <c r="J86" s="15">
        <f>'Charges d''exploitation'!J94</f>
        <v>29640</v>
      </c>
      <c r="K86" s="15">
        <f>'Charges d''exploitation'!K94</f>
        <v>29640</v>
      </c>
      <c r="L86" s="15">
        <f>'Charges d''exploitation'!L94</f>
        <v>29640</v>
      </c>
      <c r="M86" s="15">
        <f>'Charges d''exploitation'!M94</f>
        <v>29640</v>
      </c>
      <c r="N86" s="15">
        <f>'Charges d''exploitation'!N94</f>
        <v>29640</v>
      </c>
      <c r="O86" s="100">
        <f>SUM(C86:N86)</f>
        <v>355680</v>
      </c>
      <c r="P86" s="65"/>
    </row>
    <row r="87" spans="1:17" x14ac:dyDescent="0.2">
      <c r="A87" s="35"/>
      <c r="B87" s="76" t="s">
        <v>162</v>
      </c>
      <c r="C87" s="77">
        <f t="shared" ref="C87:O87" si="22">SUM(C84:C86)</f>
        <v>159556.892352</v>
      </c>
      <c r="D87" s="77">
        <f t="shared" si="22"/>
        <v>159556.892352</v>
      </c>
      <c r="E87" s="77">
        <f t="shared" si="22"/>
        <v>159556.892352</v>
      </c>
      <c r="F87" s="77">
        <f t="shared" si="22"/>
        <v>159556.892352</v>
      </c>
      <c r="G87" s="77">
        <f t="shared" si="22"/>
        <v>159556.892352</v>
      </c>
      <c r="H87" s="77">
        <f t="shared" si="22"/>
        <v>159556.892352</v>
      </c>
      <c r="I87" s="77">
        <f t="shared" si="22"/>
        <v>159556.892352</v>
      </c>
      <c r="J87" s="77">
        <f t="shared" si="22"/>
        <v>159556.892352</v>
      </c>
      <c r="K87" s="77">
        <f t="shared" si="22"/>
        <v>159556.892352</v>
      </c>
      <c r="L87" s="77">
        <f t="shared" si="22"/>
        <v>159556.892352</v>
      </c>
      <c r="M87" s="77">
        <f t="shared" si="22"/>
        <v>159556.892352</v>
      </c>
      <c r="N87" s="77">
        <f t="shared" si="22"/>
        <v>159556.892352</v>
      </c>
      <c r="O87" s="77">
        <f t="shared" si="22"/>
        <v>1914682.7082239999</v>
      </c>
      <c r="P87" s="65"/>
    </row>
    <row r="88" spans="1:17" x14ac:dyDescent="0.2">
      <c r="A88" s="35"/>
      <c r="B88" s="82" t="s">
        <v>124</v>
      </c>
      <c r="C88" s="15">
        <f>'Charges d''exploitation'!C96</f>
        <v>0</v>
      </c>
      <c r="D88" s="15">
        <f>'Charges d''exploitation'!D96</f>
        <v>0</v>
      </c>
      <c r="E88" s="15">
        <f>'Charges d''exploitation'!E96</f>
        <v>16986.239999999998</v>
      </c>
      <c r="F88" s="15">
        <f>'Charges d''exploitation'!F96</f>
        <v>0</v>
      </c>
      <c r="G88" s="15">
        <f>'Charges d''exploitation'!G96</f>
        <v>0</v>
      </c>
      <c r="H88" s="15">
        <f>'Charges d''exploitation'!H96</f>
        <v>16986.239999999998</v>
      </c>
      <c r="I88" s="15">
        <f>'Charges d''exploitation'!I96</f>
        <v>0</v>
      </c>
      <c r="J88" s="15">
        <f>'Charges d''exploitation'!J96</f>
        <v>0</v>
      </c>
      <c r="K88" s="15">
        <f>'Charges d''exploitation'!K96</f>
        <v>16986.239999999998</v>
      </c>
      <c r="L88" s="15">
        <f>'Charges d''exploitation'!L96</f>
        <v>0</v>
      </c>
      <c r="M88" s="15">
        <f>'Charges d''exploitation'!M96</f>
        <v>0</v>
      </c>
      <c r="N88" s="15">
        <f>'Charges d''exploitation'!N96</f>
        <v>16986.239999999998</v>
      </c>
      <c r="O88" s="100">
        <f>SUM(C88:N88)</f>
        <v>67944.959999999992</v>
      </c>
      <c r="P88" s="65"/>
    </row>
    <row r="89" spans="1:17" ht="12.75" customHeight="1" x14ac:dyDescent="0.2">
      <c r="A89" s="35"/>
      <c r="B89" s="82" t="s">
        <v>125</v>
      </c>
      <c r="C89" s="15">
        <f>'Charges d''exploitation'!C97</f>
        <v>4322.5</v>
      </c>
      <c r="D89" s="15">
        <f>'Charges d''exploitation'!D97</f>
        <v>4322.5</v>
      </c>
      <c r="E89" s="15">
        <f>'Charges d''exploitation'!E97</f>
        <v>4322.5</v>
      </c>
      <c r="F89" s="15">
        <f>'Charges d''exploitation'!F97</f>
        <v>4322.5</v>
      </c>
      <c r="G89" s="15">
        <f>'Charges d''exploitation'!G97</f>
        <v>4322.5</v>
      </c>
      <c r="H89" s="15">
        <f>'Charges d''exploitation'!H97</f>
        <v>4322.5</v>
      </c>
      <c r="I89" s="15">
        <f>'Charges d''exploitation'!I97</f>
        <v>4322.5</v>
      </c>
      <c r="J89" s="15">
        <f>'Charges d''exploitation'!J97</f>
        <v>4322.5</v>
      </c>
      <c r="K89" s="15">
        <f>'Charges d''exploitation'!K97</f>
        <v>4322.5</v>
      </c>
      <c r="L89" s="15">
        <f>'Charges d''exploitation'!L97</f>
        <v>4322.5</v>
      </c>
      <c r="M89" s="15">
        <f>'Charges d''exploitation'!M97</f>
        <v>4322.5</v>
      </c>
      <c r="N89" s="15">
        <f>'Charges d''exploitation'!N97</f>
        <v>4322.5</v>
      </c>
      <c r="O89" s="109">
        <f>SUM(C89:N89)</f>
        <v>51870</v>
      </c>
      <c r="P89" s="65"/>
    </row>
    <row r="90" spans="1:17" ht="12.75" customHeight="1" x14ac:dyDescent="0.2">
      <c r="A90" s="35"/>
      <c r="B90" s="76" t="s">
        <v>163</v>
      </c>
      <c r="C90" s="77">
        <f t="shared" ref="C90:O90" si="23">SUM(C88:C89)</f>
        <v>4322.5</v>
      </c>
      <c r="D90" s="77">
        <f t="shared" si="23"/>
        <v>4322.5</v>
      </c>
      <c r="E90" s="77">
        <f t="shared" si="23"/>
        <v>21308.739999999998</v>
      </c>
      <c r="F90" s="77">
        <f t="shared" si="23"/>
        <v>4322.5</v>
      </c>
      <c r="G90" s="77">
        <f t="shared" si="23"/>
        <v>4322.5</v>
      </c>
      <c r="H90" s="77">
        <f t="shared" si="23"/>
        <v>21308.739999999998</v>
      </c>
      <c r="I90" s="77">
        <f t="shared" si="23"/>
        <v>4322.5</v>
      </c>
      <c r="J90" s="77">
        <f t="shared" si="23"/>
        <v>4322.5</v>
      </c>
      <c r="K90" s="77">
        <f t="shared" si="23"/>
        <v>21308.739999999998</v>
      </c>
      <c r="L90" s="77">
        <f t="shared" si="23"/>
        <v>4322.5</v>
      </c>
      <c r="M90" s="77">
        <f t="shared" si="23"/>
        <v>4322.5</v>
      </c>
      <c r="N90" s="77">
        <f t="shared" si="23"/>
        <v>21308.739999999998</v>
      </c>
      <c r="O90" s="77">
        <f t="shared" si="23"/>
        <v>119814.95999999999</v>
      </c>
      <c r="P90" s="65"/>
    </row>
    <row r="91" spans="1:17" s="35" customFormat="1" ht="28" x14ac:dyDescent="0.2">
      <c r="B91" s="98" t="s">
        <v>198</v>
      </c>
      <c r="C91" s="57"/>
      <c r="D91" s="57"/>
      <c r="E91" s="57"/>
      <c r="F91" s="57"/>
      <c r="G91" s="57"/>
      <c r="H91" s="3">
        <f>'Charges d''exploitation'!H99</f>
        <v>300000</v>
      </c>
      <c r="I91" s="57"/>
      <c r="J91" s="57"/>
      <c r="K91" s="57"/>
      <c r="L91" s="57"/>
      <c r="M91" s="57"/>
      <c r="N91" s="57"/>
      <c r="O91" s="57"/>
      <c r="P91" s="65"/>
    </row>
    <row r="92" spans="1:17" s="35" customFormat="1" ht="24.75" customHeight="1" x14ac:dyDescent="0.2">
      <c r="B92" s="76" t="s">
        <v>199</v>
      </c>
      <c r="C92" s="77">
        <f t="shared" ref="C92:O92" si="24">SUM(C91)</f>
        <v>0</v>
      </c>
      <c r="D92" s="77">
        <f t="shared" si="24"/>
        <v>0</v>
      </c>
      <c r="E92" s="77">
        <f t="shared" si="24"/>
        <v>0</v>
      </c>
      <c r="F92" s="77">
        <f t="shared" si="24"/>
        <v>0</v>
      </c>
      <c r="G92" s="77">
        <f t="shared" si="24"/>
        <v>0</v>
      </c>
      <c r="H92" s="77">
        <f t="shared" si="24"/>
        <v>300000</v>
      </c>
      <c r="I92" s="77">
        <f t="shared" si="24"/>
        <v>0</v>
      </c>
      <c r="J92" s="77">
        <f t="shared" si="24"/>
        <v>0</v>
      </c>
      <c r="K92" s="77">
        <f t="shared" si="24"/>
        <v>0</v>
      </c>
      <c r="L92" s="77">
        <f t="shared" si="24"/>
        <v>0</v>
      </c>
      <c r="M92" s="77">
        <f t="shared" si="24"/>
        <v>0</v>
      </c>
      <c r="N92" s="77">
        <f t="shared" si="24"/>
        <v>0</v>
      </c>
      <c r="O92" s="77">
        <f t="shared" si="24"/>
        <v>0</v>
      </c>
      <c r="P92" s="65"/>
    </row>
    <row r="93" spans="1:17" s="35" customFormat="1" x14ac:dyDescent="0.2">
      <c r="B93" s="76" t="s">
        <v>164</v>
      </c>
      <c r="C93" s="77">
        <f t="shared" ref="C93:O93" si="25">C87+C90+C92</f>
        <v>163879.392352</v>
      </c>
      <c r="D93" s="77">
        <f t="shared" si="25"/>
        <v>163879.392352</v>
      </c>
      <c r="E93" s="77">
        <f t="shared" si="25"/>
        <v>180865.63235199999</v>
      </c>
      <c r="F93" s="77">
        <f t="shared" si="25"/>
        <v>163879.392352</v>
      </c>
      <c r="G93" s="77">
        <f t="shared" si="25"/>
        <v>163879.392352</v>
      </c>
      <c r="H93" s="77">
        <f t="shared" si="25"/>
        <v>480865.63235199999</v>
      </c>
      <c r="I93" s="77">
        <f t="shared" si="25"/>
        <v>163879.392352</v>
      </c>
      <c r="J93" s="77">
        <f t="shared" si="25"/>
        <v>163879.392352</v>
      </c>
      <c r="K93" s="77">
        <f t="shared" si="25"/>
        <v>180865.63235199999</v>
      </c>
      <c r="L93" s="77">
        <f t="shared" si="25"/>
        <v>163879.392352</v>
      </c>
      <c r="M93" s="77">
        <f t="shared" si="25"/>
        <v>163879.392352</v>
      </c>
      <c r="N93" s="77">
        <f t="shared" si="25"/>
        <v>180865.63235199999</v>
      </c>
      <c r="O93" s="77">
        <f t="shared" si="25"/>
        <v>2034497.6682239999</v>
      </c>
      <c r="P93" s="65"/>
    </row>
    <row r="94" spans="1:17" s="35" customFormat="1" x14ac:dyDescent="0.2">
      <c r="B94" s="70" t="s">
        <v>189</v>
      </c>
      <c r="C94" s="110"/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40"/>
      <c r="P94" s="65"/>
    </row>
    <row r="95" spans="1:17" s="35" customFormat="1" ht="12.75" customHeight="1" x14ac:dyDescent="0.2">
      <c r="B95" s="82" t="s">
        <v>200</v>
      </c>
      <c r="C95" s="42">
        <f>'Charges d''exploitation'!C103</f>
        <v>200</v>
      </c>
      <c r="D95" s="42">
        <f>'Charges d''exploitation'!D103</f>
        <v>200</v>
      </c>
      <c r="E95" s="42">
        <f>'Charges d''exploitation'!E103</f>
        <v>200</v>
      </c>
      <c r="F95" s="42">
        <f>'Charges d''exploitation'!F103</f>
        <v>200</v>
      </c>
      <c r="G95" s="42">
        <f>'Charges d''exploitation'!G103</f>
        <v>200</v>
      </c>
      <c r="H95" s="42">
        <f>'Charges d''exploitation'!H103</f>
        <v>200</v>
      </c>
      <c r="I95" s="42">
        <f>'Charges d''exploitation'!I103</f>
        <v>200</v>
      </c>
      <c r="J95" s="42">
        <f>'Charges d''exploitation'!J103</f>
        <v>200</v>
      </c>
      <c r="K95" s="42">
        <f>'Charges d''exploitation'!K103</f>
        <v>200</v>
      </c>
      <c r="L95" s="42">
        <f>'Charges d''exploitation'!L103</f>
        <v>200</v>
      </c>
      <c r="M95" s="42">
        <f>'Charges d''exploitation'!M103</f>
        <v>200</v>
      </c>
      <c r="N95" s="42">
        <f>'Charges d''exploitation'!N103</f>
        <v>200</v>
      </c>
      <c r="O95" s="81">
        <f>SUM(C95:N95)</f>
        <v>2400</v>
      </c>
      <c r="P95" s="65">
        <v>0.18</v>
      </c>
      <c r="Q95" s="35">
        <f>+O95*P95</f>
        <v>432</v>
      </c>
    </row>
    <row r="96" spans="1:17" s="35" customFormat="1" ht="12.75" customHeight="1" x14ac:dyDescent="0.2">
      <c r="B96" s="67" t="s">
        <v>168</v>
      </c>
      <c r="C96" s="42">
        <f>'Charges d''exploitation'!C104</f>
        <v>700</v>
      </c>
      <c r="D96" s="42">
        <f>'Charges d''exploitation'!D104</f>
        <v>700</v>
      </c>
      <c r="E96" s="42">
        <f>'Charges d''exploitation'!E104</f>
        <v>700</v>
      </c>
      <c r="F96" s="42">
        <f>'Charges d''exploitation'!F104</f>
        <v>700</v>
      </c>
      <c r="G96" s="42">
        <f>'Charges d''exploitation'!G104</f>
        <v>700</v>
      </c>
      <c r="H96" s="42">
        <f>'Charges d''exploitation'!H104</f>
        <v>700</v>
      </c>
      <c r="I96" s="42">
        <f>'Charges d''exploitation'!I104</f>
        <v>700</v>
      </c>
      <c r="J96" s="42">
        <f>'Charges d''exploitation'!J104</f>
        <v>700</v>
      </c>
      <c r="K96" s="42">
        <f>'Charges d''exploitation'!K104</f>
        <v>700</v>
      </c>
      <c r="L96" s="42">
        <f>'Charges d''exploitation'!L104</f>
        <v>700</v>
      </c>
      <c r="M96" s="42">
        <f>'Charges d''exploitation'!M104</f>
        <v>700</v>
      </c>
      <c r="N96" s="42">
        <f>'Charges d''exploitation'!N104</f>
        <v>700</v>
      </c>
      <c r="O96" s="81">
        <f>SUM(C96:N96)</f>
        <v>8400</v>
      </c>
      <c r="P96" s="65">
        <v>0.12</v>
      </c>
      <c r="Q96" s="35">
        <f>+O96*P96</f>
        <v>1008</v>
      </c>
    </row>
    <row r="97" spans="1:17" s="35" customFormat="1" ht="12.75" customHeight="1" x14ac:dyDescent="0.2">
      <c r="B97" s="67" t="s">
        <v>167</v>
      </c>
      <c r="C97" s="42">
        <f>'Charges d''exploitation'!C105</f>
        <v>500</v>
      </c>
      <c r="D97" s="42">
        <f>'Charges d''exploitation'!D105</f>
        <v>500</v>
      </c>
      <c r="E97" s="42">
        <f>'Charges d''exploitation'!E105</f>
        <v>500</v>
      </c>
      <c r="F97" s="42">
        <f>'Charges d''exploitation'!F105</f>
        <v>500</v>
      </c>
      <c r="G97" s="42">
        <f>'Charges d''exploitation'!G105</f>
        <v>500</v>
      </c>
      <c r="H97" s="42">
        <f>'Charges d''exploitation'!H105</f>
        <v>500</v>
      </c>
      <c r="I97" s="42">
        <f>'Charges d''exploitation'!I105</f>
        <v>500</v>
      </c>
      <c r="J97" s="42">
        <f>'Charges d''exploitation'!J105</f>
        <v>500</v>
      </c>
      <c r="K97" s="42">
        <f>'Charges d''exploitation'!K105</f>
        <v>500</v>
      </c>
      <c r="L97" s="42">
        <f>'Charges d''exploitation'!L105</f>
        <v>500</v>
      </c>
      <c r="M97" s="42">
        <f>'Charges d''exploitation'!M105</f>
        <v>500</v>
      </c>
      <c r="N97" s="42">
        <f>'Charges d''exploitation'!N105</f>
        <v>500</v>
      </c>
      <c r="O97" s="81">
        <f>SUM(C97:N97)</f>
        <v>6000</v>
      </c>
      <c r="P97" s="65">
        <v>0.12</v>
      </c>
      <c r="Q97" s="35">
        <f>+O97*P97</f>
        <v>720</v>
      </c>
    </row>
    <row r="98" spans="1:17" ht="12.75" customHeight="1" x14ac:dyDescent="0.2">
      <c r="A98" s="35"/>
      <c r="B98" s="76" t="s">
        <v>169</v>
      </c>
      <c r="C98" s="78">
        <f t="shared" ref="C98:O98" si="26">SUM(C95:C97)</f>
        <v>1400</v>
      </c>
      <c r="D98" s="78">
        <f t="shared" si="26"/>
        <v>1400</v>
      </c>
      <c r="E98" s="78">
        <f t="shared" si="26"/>
        <v>1400</v>
      </c>
      <c r="F98" s="78">
        <f t="shared" si="26"/>
        <v>1400</v>
      </c>
      <c r="G98" s="78">
        <f t="shared" si="26"/>
        <v>1400</v>
      </c>
      <c r="H98" s="78">
        <f t="shared" si="26"/>
        <v>1400</v>
      </c>
      <c r="I98" s="78">
        <f t="shared" si="26"/>
        <v>1400</v>
      </c>
      <c r="J98" s="78">
        <f t="shared" si="26"/>
        <v>1400</v>
      </c>
      <c r="K98" s="78">
        <f t="shared" si="26"/>
        <v>1400</v>
      </c>
      <c r="L98" s="78">
        <f t="shared" si="26"/>
        <v>1400</v>
      </c>
      <c r="M98" s="78">
        <f t="shared" si="26"/>
        <v>1400</v>
      </c>
      <c r="N98" s="78">
        <f t="shared" si="26"/>
        <v>1400</v>
      </c>
      <c r="O98" s="78">
        <f t="shared" si="26"/>
        <v>16800</v>
      </c>
      <c r="P98" s="78"/>
      <c r="Q98" s="78">
        <f>SUM(Q95:Q97)</f>
        <v>2160</v>
      </c>
    </row>
    <row r="99" spans="1:17" ht="12.75" customHeight="1" x14ac:dyDescent="0.2">
      <c r="A99" s="35"/>
      <c r="B99" s="82" t="s">
        <v>170</v>
      </c>
      <c r="C99" s="40">
        <f>'Charges d''exploitation'!C107</f>
        <v>625.625</v>
      </c>
      <c r="D99" s="40">
        <f>'Charges d''exploitation'!D107</f>
        <v>625.625</v>
      </c>
      <c r="E99" s="40">
        <f>'Charges d''exploitation'!E107</f>
        <v>625.625</v>
      </c>
      <c r="F99" s="40">
        <f>'Charges d''exploitation'!F107</f>
        <v>625.625</v>
      </c>
      <c r="G99" s="40">
        <f>'Charges d''exploitation'!G107</f>
        <v>625.625</v>
      </c>
      <c r="H99" s="40">
        <f>'Charges d''exploitation'!H107</f>
        <v>625.625</v>
      </c>
      <c r="I99" s="40">
        <f>'Charges d''exploitation'!I107</f>
        <v>625.625</v>
      </c>
      <c r="J99" s="40">
        <f>'Charges d''exploitation'!J107</f>
        <v>625.625</v>
      </c>
      <c r="K99" s="40">
        <f>'Charges d''exploitation'!K107</f>
        <v>625.625</v>
      </c>
      <c r="L99" s="40">
        <f>'Charges d''exploitation'!L107</f>
        <v>625.625</v>
      </c>
      <c r="M99" s="40">
        <f>'Charges d''exploitation'!M107</f>
        <v>625.625</v>
      </c>
      <c r="N99" s="40">
        <f>'Charges d''exploitation'!N107</f>
        <v>625.625</v>
      </c>
      <c r="O99" s="40">
        <f>'Charges d''exploitation'!O107</f>
        <v>7507.5</v>
      </c>
      <c r="P99" s="87"/>
      <c r="Q99" s="87"/>
    </row>
    <row r="100" spans="1:17" ht="28" x14ac:dyDescent="0.2">
      <c r="A100" s="35"/>
      <c r="B100" s="82" t="s">
        <v>171</v>
      </c>
      <c r="C100" s="40">
        <f>'Charges d''exploitation'!C108</f>
        <v>943.68</v>
      </c>
      <c r="D100" s="40">
        <f>'Charges d''exploitation'!D108</f>
        <v>943.68</v>
      </c>
      <c r="E100" s="40">
        <f>'Charges d''exploitation'!E108</f>
        <v>943.68</v>
      </c>
      <c r="F100" s="40">
        <f>'Charges d''exploitation'!F108</f>
        <v>943.68</v>
      </c>
      <c r="G100" s="40">
        <f>'Charges d''exploitation'!G108</f>
        <v>943.68</v>
      </c>
      <c r="H100" s="40">
        <f>'Charges d''exploitation'!H108</f>
        <v>943.68</v>
      </c>
      <c r="I100" s="40">
        <f>'Charges d''exploitation'!I108</f>
        <v>943.68</v>
      </c>
      <c r="J100" s="40">
        <f>'Charges d''exploitation'!J108</f>
        <v>943.68</v>
      </c>
      <c r="K100" s="40">
        <f>'Charges d''exploitation'!K108</f>
        <v>943.68</v>
      </c>
      <c r="L100" s="40">
        <f>'Charges d''exploitation'!L108</f>
        <v>943.68</v>
      </c>
      <c r="M100" s="40">
        <f>'Charges d''exploitation'!M108</f>
        <v>943.68</v>
      </c>
      <c r="N100" s="40">
        <f>'Charges d''exploitation'!N108</f>
        <v>943.68</v>
      </c>
      <c r="O100" s="40">
        <f>'Frais Readspeaker'!C5</f>
        <v>11324.16</v>
      </c>
      <c r="P100" s="87"/>
      <c r="Q100" s="87"/>
    </row>
    <row r="101" spans="1:17" x14ac:dyDescent="0.2">
      <c r="A101" s="35"/>
      <c r="B101" s="82" t="s">
        <v>172</v>
      </c>
      <c r="C101" s="40"/>
      <c r="D101" s="40"/>
      <c r="E101" s="40">
        <f>'Charges d''exploitation'!E109</f>
        <v>11324.16</v>
      </c>
      <c r="F101" s="40"/>
      <c r="G101" s="40"/>
      <c r="H101" s="40">
        <f>'Charges d''exploitation'!H109</f>
        <v>11324.16</v>
      </c>
      <c r="I101" s="40"/>
      <c r="J101" s="40"/>
      <c r="K101" s="40">
        <f>'Charges d''exploitation'!K109</f>
        <v>11324.16</v>
      </c>
      <c r="L101" s="40"/>
      <c r="M101" s="40"/>
      <c r="N101" s="40">
        <f>'Charges d''exploitation'!N109</f>
        <v>11324.16</v>
      </c>
      <c r="O101" s="40">
        <f>SUM(C101:N101)</f>
        <v>45296.639999999999</v>
      </c>
      <c r="P101" s="87"/>
      <c r="Q101" s="87"/>
    </row>
    <row r="102" spans="1:17" ht="26.25" customHeight="1" x14ac:dyDescent="0.2">
      <c r="A102" s="35"/>
      <c r="B102" s="82" t="s">
        <v>173</v>
      </c>
      <c r="C102" s="40">
        <f>'Charges d''exploitation'!C110</f>
        <v>440.00000000000006</v>
      </c>
      <c r="D102" s="40">
        <f>'Charges d''exploitation'!D110</f>
        <v>440.00000000000006</v>
      </c>
      <c r="E102" s="40">
        <f>'Charges d''exploitation'!E110</f>
        <v>440.00000000000006</v>
      </c>
      <c r="F102" s="40">
        <f>'Charges d''exploitation'!F110</f>
        <v>440.00000000000006</v>
      </c>
      <c r="G102" s="40">
        <f>'Charges d''exploitation'!G110</f>
        <v>440.00000000000006</v>
      </c>
      <c r="H102" s="40">
        <f>'Charges d''exploitation'!H110</f>
        <v>440.00000000000006</v>
      </c>
      <c r="I102" s="40">
        <f>'Charges d''exploitation'!I110</f>
        <v>440.00000000000006</v>
      </c>
      <c r="J102" s="40">
        <f>'Charges d''exploitation'!J110</f>
        <v>440.00000000000006</v>
      </c>
      <c r="K102" s="40">
        <f>'Charges d''exploitation'!K110</f>
        <v>440.00000000000006</v>
      </c>
      <c r="L102" s="40">
        <f>'Charges d''exploitation'!L110</f>
        <v>440.00000000000006</v>
      </c>
      <c r="M102" s="40">
        <f>'Charges d''exploitation'!M110</f>
        <v>440.00000000000006</v>
      </c>
      <c r="N102" s="40">
        <f>'Charges d''exploitation'!N110</f>
        <v>440.00000000000006</v>
      </c>
      <c r="O102" s="39">
        <f>SUM(C102:N102)</f>
        <v>5280.0000000000009</v>
      </c>
      <c r="P102" s="87"/>
      <c r="Q102" s="87"/>
    </row>
    <row r="103" spans="1:17" ht="27" customHeight="1" x14ac:dyDescent="0.2">
      <c r="A103" s="35"/>
      <c r="B103" s="82" t="s">
        <v>201</v>
      </c>
      <c r="C103" s="40">
        <f>'Charges d''exploitation'!C111</f>
        <v>6250</v>
      </c>
      <c r="D103" s="40">
        <f>'Charges d''exploitation'!D111</f>
        <v>6250</v>
      </c>
      <c r="E103" s="40">
        <f>'Charges d''exploitation'!E111</f>
        <v>6250</v>
      </c>
      <c r="F103" s="40">
        <f>'Charges d''exploitation'!F111</f>
        <v>6250</v>
      </c>
      <c r="G103" s="40">
        <f>'Charges d''exploitation'!G111</f>
        <v>6250</v>
      </c>
      <c r="H103" s="40">
        <f>'Charges d''exploitation'!H111</f>
        <v>6250</v>
      </c>
      <c r="I103" s="40">
        <f>'Charges d''exploitation'!I111</f>
        <v>6250</v>
      </c>
      <c r="J103" s="40">
        <f>'Charges d''exploitation'!J111</f>
        <v>6250</v>
      </c>
      <c r="K103" s="40">
        <f>'Charges d''exploitation'!K111</f>
        <v>6250</v>
      </c>
      <c r="L103" s="40">
        <f>'Charges d''exploitation'!L111</f>
        <v>6250</v>
      </c>
      <c r="M103" s="40">
        <f>'Charges d''exploitation'!M111</f>
        <v>6250</v>
      </c>
      <c r="N103" s="40">
        <f>'Charges d''exploitation'!N111</f>
        <v>6250</v>
      </c>
      <c r="O103" s="39">
        <f>'Invest-Amort et TVA'!D6*0.15</f>
        <v>75000</v>
      </c>
      <c r="P103" s="87"/>
      <c r="Q103" s="87"/>
    </row>
    <row r="104" spans="1:17" s="35" customFormat="1" ht="12.75" customHeight="1" x14ac:dyDescent="0.2">
      <c r="B104" s="82" t="s">
        <v>174</v>
      </c>
      <c r="C104" s="40">
        <f>'Charges d''exploitation'!C112</f>
        <v>150</v>
      </c>
      <c r="D104" s="40">
        <f>'Charges d''exploitation'!D112</f>
        <v>150</v>
      </c>
      <c r="E104" s="40">
        <f>'Charges d''exploitation'!E112</f>
        <v>150</v>
      </c>
      <c r="F104" s="40">
        <f>'Charges d''exploitation'!F112</f>
        <v>150</v>
      </c>
      <c r="G104" s="40">
        <f>'Charges d''exploitation'!G112</f>
        <v>150</v>
      </c>
      <c r="H104" s="40">
        <f>'Charges d''exploitation'!H112</f>
        <v>150</v>
      </c>
      <c r="I104" s="40">
        <f>'Charges d''exploitation'!I112</f>
        <v>150</v>
      </c>
      <c r="J104" s="40">
        <f>'Charges d''exploitation'!J112</f>
        <v>150</v>
      </c>
      <c r="K104" s="40">
        <f>'Charges d''exploitation'!K112</f>
        <v>150</v>
      </c>
      <c r="L104" s="40">
        <f>'Charges d''exploitation'!L112</f>
        <v>150</v>
      </c>
      <c r="M104" s="40">
        <f>'Charges d''exploitation'!M112</f>
        <v>150</v>
      </c>
      <c r="N104" s="40">
        <f>'Charges d''exploitation'!N112</f>
        <v>150</v>
      </c>
      <c r="O104" s="81">
        <f t="shared" ref="O104:O111" si="27">SUM(C104:N104)</f>
        <v>1800</v>
      </c>
      <c r="P104" s="34"/>
      <c r="Q104" s="34"/>
    </row>
    <row r="105" spans="1:17" s="35" customFormat="1" ht="12.75" customHeight="1" x14ac:dyDescent="0.2">
      <c r="B105" s="82" t="s">
        <v>202</v>
      </c>
      <c r="C105" s="40">
        <f>'Charges d''exploitation'!C113</f>
        <v>100</v>
      </c>
      <c r="D105" s="40">
        <f>'Charges d''exploitation'!D113</f>
        <v>100</v>
      </c>
      <c r="E105" s="40">
        <f>'Charges d''exploitation'!E113</f>
        <v>100</v>
      </c>
      <c r="F105" s="40">
        <f>'Charges d''exploitation'!F113</f>
        <v>100</v>
      </c>
      <c r="G105" s="40">
        <f>'Charges d''exploitation'!G113</f>
        <v>100</v>
      </c>
      <c r="H105" s="40">
        <f>'Charges d''exploitation'!H113</f>
        <v>100</v>
      </c>
      <c r="I105" s="40">
        <f>'Charges d''exploitation'!I113</f>
        <v>100</v>
      </c>
      <c r="J105" s="40">
        <f>'Charges d''exploitation'!J113</f>
        <v>100</v>
      </c>
      <c r="K105" s="40">
        <f>'Charges d''exploitation'!K113</f>
        <v>100</v>
      </c>
      <c r="L105" s="40">
        <f>'Charges d''exploitation'!L113</f>
        <v>100</v>
      </c>
      <c r="M105" s="40">
        <f>'Charges d''exploitation'!M113</f>
        <v>100</v>
      </c>
      <c r="N105" s="40">
        <f>'Charges d''exploitation'!N113</f>
        <v>100</v>
      </c>
      <c r="O105" s="81">
        <f t="shared" si="27"/>
        <v>1200</v>
      </c>
      <c r="P105" s="34"/>
      <c r="Q105" s="34"/>
    </row>
    <row r="106" spans="1:17" s="35" customFormat="1" ht="12.75" customHeight="1" x14ac:dyDescent="0.2">
      <c r="B106" s="82" t="s">
        <v>203</v>
      </c>
      <c r="C106" s="40">
        <f>'Charges d''exploitation'!C114</f>
        <v>4200</v>
      </c>
      <c r="D106" s="40">
        <f>'Charges d''exploitation'!D114</f>
        <v>4200</v>
      </c>
      <c r="E106" s="40">
        <f>'Charges d''exploitation'!E114</f>
        <v>4200</v>
      </c>
      <c r="F106" s="40">
        <f>'Charges d''exploitation'!F114</f>
        <v>4200</v>
      </c>
      <c r="G106" s="40">
        <f>'Charges d''exploitation'!G114</f>
        <v>4200</v>
      </c>
      <c r="H106" s="40">
        <f>'Charges d''exploitation'!H114</f>
        <v>4200</v>
      </c>
      <c r="I106" s="40">
        <f>'Charges d''exploitation'!I114</f>
        <v>4200</v>
      </c>
      <c r="J106" s="40">
        <f>'Charges d''exploitation'!J114</f>
        <v>4200</v>
      </c>
      <c r="K106" s="40">
        <f>'Charges d''exploitation'!K114</f>
        <v>4200</v>
      </c>
      <c r="L106" s="40">
        <f>'Charges d''exploitation'!L114</f>
        <v>4200</v>
      </c>
      <c r="M106" s="40">
        <f>'Charges d''exploitation'!M114</f>
        <v>4200</v>
      </c>
      <c r="N106" s="40">
        <f>'Charges d''exploitation'!N114</f>
        <v>4200</v>
      </c>
      <c r="O106" s="81">
        <f t="shared" si="27"/>
        <v>50400</v>
      </c>
      <c r="P106" s="65">
        <v>0.12</v>
      </c>
      <c r="Q106" s="35">
        <f>+O106*P106</f>
        <v>6048</v>
      </c>
    </row>
    <row r="107" spans="1:17" s="35" customFormat="1" ht="12.75" customHeight="1" x14ac:dyDescent="0.2">
      <c r="B107" s="82" t="s">
        <v>204</v>
      </c>
      <c r="C107" s="40">
        <f>'Charges d''exploitation'!C115</f>
        <v>300</v>
      </c>
      <c r="D107" s="40">
        <f>'Charges d''exploitation'!D115</f>
        <v>300</v>
      </c>
      <c r="E107" s="40">
        <f>'Charges d''exploitation'!E115</f>
        <v>300</v>
      </c>
      <c r="F107" s="40">
        <f>'Charges d''exploitation'!F115</f>
        <v>300</v>
      </c>
      <c r="G107" s="40">
        <f>'Charges d''exploitation'!G115</f>
        <v>300</v>
      </c>
      <c r="H107" s="40">
        <f>'Charges d''exploitation'!H115</f>
        <v>300</v>
      </c>
      <c r="I107" s="40">
        <f>'Charges d''exploitation'!I115</f>
        <v>300</v>
      </c>
      <c r="J107" s="40">
        <f>'Charges d''exploitation'!J115</f>
        <v>300</v>
      </c>
      <c r="K107" s="40">
        <f>'Charges d''exploitation'!K115</f>
        <v>300</v>
      </c>
      <c r="L107" s="40">
        <f>'Charges d''exploitation'!L115</f>
        <v>300</v>
      </c>
      <c r="M107" s="40">
        <f>'Charges d''exploitation'!M115</f>
        <v>300</v>
      </c>
      <c r="N107" s="40">
        <f>'Charges d''exploitation'!N115</f>
        <v>300</v>
      </c>
      <c r="O107" s="81">
        <f t="shared" si="27"/>
        <v>3600</v>
      </c>
      <c r="P107" s="65">
        <v>0.12</v>
      </c>
      <c r="Q107" s="35">
        <f>+O107*P107</f>
        <v>432</v>
      </c>
    </row>
    <row r="108" spans="1:17" s="35" customFormat="1" ht="12.75" customHeight="1" x14ac:dyDescent="0.2">
      <c r="B108" s="67" t="s">
        <v>178</v>
      </c>
      <c r="C108" s="40">
        <f>'Charges d''exploitation'!C116</f>
        <v>900</v>
      </c>
      <c r="D108" s="40">
        <f>'Charges d''exploitation'!D116</f>
        <v>900</v>
      </c>
      <c r="E108" s="40">
        <f>'Charges d''exploitation'!E116</f>
        <v>900</v>
      </c>
      <c r="F108" s="40">
        <f>'Charges d''exploitation'!F116</f>
        <v>900</v>
      </c>
      <c r="G108" s="40">
        <f>'Charges d''exploitation'!G116</f>
        <v>900</v>
      </c>
      <c r="H108" s="40">
        <f>'Charges d''exploitation'!H116</f>
        <v>900</v>
      </c>
      <c r="I108" s="40">
        <f>'Charges d''exploitation'!I116</f>
        <v>900</v>
      </c>
      <c r="J108" s="40">
        <f>'Charges d''exploitation'!J116</f>
        <v>900</v>
      </c>
      <c r="K108" s="40">
        <f>'Charges d''exploitation'!K116</f>
        <v>900</v>
      </c>
      <c r="L108" s="40">
        <f>'Charges d''exploitation'!L116</f>
        <v>900</v>
      </c>
      <c r="M108" s="40">
        <f>'Charges d''exploitation'!M116</f>
        <v>900</v>
      </c>
      <c r="N108" s="40">
        <f>'Charges d''exploitation'!N116</f>
        <v>900</v>
      </c>
      <c r="O108" s="81">
        <f t="shared" si="27"/>
        <v>10800</v>
      </c>
      <c r="P108" s="65">
        <v>0.18</v>
      </c>
      <c r="Q108" s="35">
        <f>+O108*P108</f>
        <v>1944</v>
      </c>
    </row>
    <row r="109" spans="1:17" s="35" customFormat="1" ht="12.75" customHeight="1" x14ac:dyDescent="0.2">
      <c r="B109" s="82" t="s">
        <v>193</v>
      </c>
      <c r="C109" s="40">
        <f>'Charges d''exploitation'!C117</f>
        <v>1000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81">
        <f t="shared" si="27"/>
        <v>1000</v>
      </c>
      <c r="P109" s="65">
        <v>0.18</v>
      </c>
      <c r="Q109" s="35">
        <f>+O109*P109</f>
        <v>180</v>
      </c>
    </row>
    <row r="110" spans="1:17" s="35" customFormat="1" ht="12.75" customHeight="1" x14ac:dyDescent="0.2">
      <c r="B110" s="82" t="s">
        <v>205</v>
      </c>
      <c r="C110" s="40"/>
      <c r="D110" s="40"/>
      <c r="E110" s="40">
        <f>'Charges d''exploitation'!E118</f>
        <v>3550</v>
      </c>
      <c r="F110" s="40"/>
      <c r="G110" s="40"/>
      <c r="H110" s="40">
        <f>'Charges d''exploitation'!H118</f>
        <v>5350</v>
      </c>
      <c r="I110" s="40"/>
      <c r="J110" s="40"/>
      <c r="K110" s="40">
        <f>'Charges d''exploitation'!K118</f>
        <v>3550</v>
      </c>
      <c r="L110" s="40"/>
      <c r="M110" s="40"/>
      <c r="N110" s="40">
        <f>'Charges d''exploitation'!N118</f>
        <v>8550</v>
      </c>
      <c r="O110" s="81">
        <f t="shared" si="27"/>
        <v>21000</v>
      </c>
      <c r="P110" s="65">
        <v>0.12</v>
      </c>
      <c r="Q110" s="35">
        <f>+O110*P110</f>
        <v>2520</v>
      </c>
    </row>
    <row r="111" spans="1:17" s="35" customFormat="1" ht="24.75" customHeight="1" x14ac:dyDescent="0.2">
      <c r="B111" s="82" t="s">
        <v>206</v>
      </c>
      <c r="C111" s="40"/>
      <c r="D111" s="40">
        <f>'Charges d''exploitation'!D119</f>
        <v>5000</v>
      </c>
      <c r="E111" s="40"/>
      <c r="F111" s="40"/>
      <c r="G111" s="40"/>
      <c r="H111" s="40">
        <f>'Charges d''exploitation'!H119</f>
        <v>5000</v>
      </c>
      <c r="I111" s="40"/>
      <c r="J111" s="40"/>
      <c r="K111" s="40"/>
      <c r="L111" s="40">
        <f>'Charges d''exploitation'!L119</f>
        <v>5000</v>
      </c>
      <c r="M111" s="40"/>
      <c r="N111" s="40"/>
      <c r="O111" s="81">
        <f t="shared" si="27"/>
        <v>15000</v>
      </c>
      <c r="P111" s="65"/>
      <c r="Q111"/>
    </row>
    <row r="112" spans="1:17" ht="12.75" customHeight="1" x14ac:dyDescent="0.2">
      <c r="A112" s="35"/>
      <c r="B112" s="76" t="s">
        <v>181</v>
      </c>
      <c r="C112" s="77">
        <f t="shared" ref="C112:O112" si="28">SUM(C99:C111)</f>
        <v>14909.305</v>
      </c>
      <c r="D112" s="77">
        <f t="shared" si="28"/>
        <v>18909.305</v>
      </c>
      <c r="E112" s="77">
        <f t="shared" si="28"/>
        <v>28783.465</v>
      </c>
      <c r="F112" s="77">
        <f t="shared" si="28"/>
        <v>13909.305</v>
      </c>
      <c r="G112" s="77">
        <f t="shared" si="28"/>
        <v>13909.305</v>
      </c>
      <c r="H112" s="77">
        <f t="shared" si="28"/>
        <v>35583.464999999997</v>
      </c>
      <c r="I112" s="77">
        <f t="shared" si="28"/>
        <v>13909.305</v>
      </c>
      <c r="J112" s="77">
        <f t="shared" si="28"/>
        <v>13909.305</v>
      </c>
      <c r="K112" s="77">
        <f t="shared" si="28"/>
        <v>28783.465</v>
      </c>
      <c r="L112" s="77">
        <f t="shared" si="28"/>
        <v>18909.305</v>
      </c>
      <c r="M112" s="77">
        <f t="shared" si="28"/>
        <v>13909.305</v>
      </c>
      <c r="N112" s="77">
        <f t="shared" si="28"/>
        <v>33783.464999999997</v>
      </c>
      <c r="O112" s="77">
        <f t="shared" si="28"/>
        <v>249208.3</v>
      </c>
      <c r="P112" s="65"/>
      <c r="Q112" s="78">
        <f>SUM(Q106:Q110)</f>
        <v>11124</v>
      </c>
    </row>
    <row r="113" spans="1:17" ht="28" x14ac:dyDescent="0.2">
      <c r="A113" s="35"/>
      <c r="B113" s="88" t="s">
        <v>183</v>
      </c>
      <c r="C113" s="89">
        <f t="shared" ref="C113:O113" si="29">C98+C112</f>
        <v>16309.305</v>
      </c>
      <c r="D113" s="89">
        <f t="shared" si="29"/>
        <v>20309.305</v>
      </c>
      <c r="E113" s="89">
        <f t="shared" si="29"/>
        <v>30183.465</v>
      </c>
      <c r="F113" s="89">
        <f t="shared" si="29"/>
        <v>15309.305</v>
      </c>
      <c r="G113" s="89">
        <f t="shared" si="29"/>
        <v>15309.305</v>
      </c>
      <c r="H113" s="89">
        <f t="shared" si="29"/>
        <v>36983.464999999997</v>
      </c>
      <c r="I113" s="89">
        <f t="shared" si="29"/>
        <v>15309.305</v>
      </c>
      <c r="J113" s="89">
        <f t="shared" si="29"/>
        <v>15309.305</v>
      </c>
      <c r="K113" s="89">
        <f t="shared" si="29"/>
        <v>30183.465</v>
      </c>
      <c r="L113" s="89">
        <f t="shared" si="29"/>
        <v>20309.305</v>
      </c>
      <c r="M113" s="89">
        <f t="shared" si="29"/>
        <v>15309.305</v>
      </c>
      <c r="N113" s="89">
        <f t="shared" si="29"/>
        <v>35183.464999999997</v>
      </c>
      <c r="O113" s="89">
        <f t="shared" si="29"/>
        <v>266008.3</v>
      </c>
      <c r="P113" s="65"/>
    </row>
    <row r="114" spans="1:17" ht="29.25" customHeight="1" x14ac:dyDescent="0.2">
      <c r="A114" s="86"/>
      <c r="B114" s="76" t="s">
        <v>216</v>
      </c>
      <c r="C114" s="77">
        <f t="shared" ref="C114:N114" si="30">$O$114/12</f>
        <v>45351.692307692305</v>
      </c>
      <c r="D114" s="77">
        <f t="shared" si="30"/>
        <v>45351.692307692305</v>
      </c>
      <c r="E114" s="77">
        <f t="shared" si="30"/>
        <v>45351.692307692305</v>
      </c>
      <c r="F114" s="77">
        <f t="shared" si="30"/>
        <v>45351.692307692305</v>
      </c>
      <c r="G114" s="77">
        <f t="shared" si="30"/>
        <v>45351.692307692305</v>
      </c>
      <c r="H114" s="77">
        <f t="shared" si="30"/>
        <v>45351.692307692305</v>
      </c>
      <c r="I114" s="77">
        <f t="shared" si="30"/>
        <v>45351.692307692305</v>
      </c>
      <c r="J114" s="77">
        <f t="shared" si="30"/>
        <v>45351.692307692305</v>
      </c>
      <c r="K114" s="77">
        <f t="shared" si="30"/>
        <v>45351.692307692305</v>
      </c>
      <c r="L114" s="77">
        <f t="shared" si="30"/>
        <v>45351.692307692305</v>
      </c>
      <c r="M114" s="77">
        <f t="shared" si="30"/>
        <v>45351.692307692305</v>
      </c>
      <c r="N114" s="77">
        <f t="shared" si="30"/>
        <v>45351.692307692305</v>
      </c>
      <c r="O114" s="77">
        <f>'Budget RH en nombre TTC'!G50</f>
        <v>544220.30769230763</v>
      </c>
      <c r="P114" s="65"/>
      <c r="Q114" s="87"/>
    </row>
    <row r="115" spans="1:17" x14ac:dyDescent="0.2">
      <c r="A115" s="86"/>
      <c r="B115" s="76" t="s">
        <v>134</v>
      </c>
      <c r="C115" s="77">
        <f>'Budget RH en nombre TTC'!E52</f>
        <v>28440.346153846156</v>
      </c>
      <c r="D115" s="78"/>
      <c r="E115" s="78"/>
      <c r="F115" s="77">
        <f>'Budget RH en nombre TTC'!G52</f>
        <v>40816.523076923069</v>
      </c>
      <c r="G115" s="78"/>
      <c r="H115" s="78"/>
      <c r="I115" s="77">
        <f>'Budget RH en nombre TTC'!G52</f>
        <v>40816.523076923069</v>
      </c>
      <c r="J115" s="78"/>
      <c r="K115" s="78"/>
      <c r="L115" s="77">
        <f>'Budget RH en nombre TTC'!G52</f>
        <v>40816.523076923069</v>
      </c>
      <c r="M115" s="78"/>
      <c r="N115" s="78"/>
      <c r="O115" s="77">
        <f>SUM(C115:N115)</f>
        <v>150889.91538461536</v>
      </c>
      <c r="P115" s="65"/>
      <c r="Q115" s="87"/>
    </row>
    <row r="116" spans="1:17" x14ac:dyDescent="0.2">
      <c r="A116" s="86"/>
      <c r="B116" s="76" t="s">
        <v>217</v>
      </c>
      <c r="C116" s="78"/>
      <c r="D116" s="78"/>
      <c r="E116" s="78"/>
      <c r="F116" s="78"/>
      <c r="G116" s="77">
        <f>'CASH FLOW - TRESORERIE'!G33</f>
        <v>249511.77696800011</v>
      </c>
      <c r="H116" s="78"/>
      <c r="I116" s="78"/>
      <c r="J116" s="78"/>
      <c r="K116" s="78"/>
      <c r="L116" s="78"/>
      <c r="M116" s="78"/>
      <c r="N116" s="78"/>
      <c r="O116" s="77">
        <f>SUM(C116:N116)</f>
        <v>249511.77696800011</v>
      </c>
      <c r="P116" s="65"/>
      <c r="Q116" s="87"/>
    </row>
    <row r="117" spans="1:17" x14ac:dyDescent="0.2">
      <c r="A117" s="86"/>
      <c r="B117" s="76" t="s">
        <v>223</v>
      </c>
      <c r="C117" s="77">
        <f t="shared" ref="C117:N117" si="31">$O$117/12</f>
        <v>31618.740523359997</v>
      </c>
      <c r="D117" s="77">
        <f t="shared" si="31"/>
        <v>31618.740523359997</v>
      </c>
      <c r="E117" s="77">
        <f t="shared" si="31"/>
        <v>31618.740523359997</v>
      </c>
      <c r="F117" s="77">
        <f t="shared" si="31"/>
        <v>31618.740523359997</v>
      </c>
      <c r="G117" s="77">
        <f t="shared" si="31"/>
        <v>31618.740523359997</v>
      </c>
      <c r="H117" s="77">
        <f t="shared" si="31"/>
        <v>31618.740523359997</v>
      </c>
      <c r="I117" s="77">
        <f t="shared" si="31"/>
        <v>31618.740523359997</v>
      </c>
      <c r="J117" s="77">
        <f t="shared" si="31"/>
        <v>31618.740523359997</v>
      </c>
      <c r="K117" s="77">
        <f t="shared" si="31"/>
        <v>31618.740523359997</v>
      </c>
      <c r="L117" s="77">
        <f t="shared" si="31"/>
        <v>31618.740523359997</v>
      </c>
      <c r="M117" s="77">
        <f t="shared" si="31"/>
        <v>31618.740523359997</v>
      </c>
      <c r="N117" s="77">
        <f t="shared" si="31"/>
        <v>31618.740523359997</v>
      </c>
      <c r="O117" s="77">
        <f>'Calcul de TVA à payer'!H35</f>
        <v>379424.88628031994</v>
      </c>
      <c r="P117" s="65"/>
      <c r="Q117" s="87"/>
    </row>
    <row r="118" spans="1:17" x14ac:dyDescent="0.2">
      <c r="B118" s="88" t="s">
        <v>219</v>
      </c>
      <c r="C118" s="89">
        <f t="shared" ref="C118:O118" si="32">C93-C113-C114-C115-C116-C117</f>
        <v>42159.308367101534</v>
      </c>
      <c r="D118" s="89">
        <f t="shared" si="32"/>
        <v>66599.65452094769</v>
      </c>
      <c r="E118" s="89">
        <f t="shared" si="32"/>
        <v>73711.734520947677</v>
      </c>
      <c r="F118" s="89">
        <f t="shared" si="32"/>
        <v>30783.131444024624</v>
      </c>
      <c r="G118" s="89">
        <f t="shared" si="32"/>
        <v>-177912.12244705242</v>
      </c>
      <c r="H118" s="89">
        <f t="shared" si="32"/>
        <v>366911.73452094774</v>
      </c>
      <c r="I118" s="89">
        <f t="shared" si="32"/>
        <v>30783.131444024624</v>
      </c>
      <c r="J118" s="89">
        <f t="shared" si="32"/>
        <v>71599.65452094769</v>
      </c>
      <c r="K118" s="89">
        <f t="shared" si="32"/>
        <v>73711.734520947677</v>
      </c>
      <c r="L118" s="89">
        <f t="shared" si="32"/>
        <v>25783.131444024624</v>
      </c>
      <c r="M118" s="89">
        <f t="shared" si="32"/>
        <v>71599.65452094769</v>
      </c>
      <c r="N118" s="89">
        <f t="shared" si="32"/>
        <v>68711.734520947677</v>
      </c>
      <c r="O118" s="89">
        <f t="shared" si="32"/>
        <v>444442.48189875676</v>
      </c>
      <c r="P118" s="69"/>
    </row>
    <row r="119" spans="1:17" x14ac:dyDescent="0.2">
      <c r="B119" s="88" t="s">
        <v>220</v>
      </c>
      <c r="C119" s="89">
        <f>C118</f>
        <v>42159.308367101534</v>
      </c>
      <c r="D119" s="89">
        <f t="shared" ref="D119:N119" si="33">D118+C119</f>
        <v>108758.96288804922</v>
      </c>
      <c r="E119" s="89">
        <f t="shared" si="33"/>
        <v>182470.6974089969</v>
      </c>
      <c r="F119" s="89">
        <f t="shared" si="33"/>
        <v>213253.82885302152</v>
      </c>
      <c r="G119" s="89">
        <f t="shared" si="33"/>
        <v>35341.706405969104</v>
      </c>
      <c r="H119" s="89">
        <f t="shared" si="33"/>
        <v>402253.44092691684</v>
      </c>
      <c r="I119" s="89">
        <f t="shared" si="33"/>
        <v>433036.57237094146</v>
      </c>
      <c r="J119" s="89">
        <f t="shared" si="33"/>
        <v>504636.22689188912</v>
      </c>
      <c r="K119" s="89">
        <f t="shared" si="33"/>
        <v>578347.9614128368</v>
      </c>
      <c r="L119" s="89">
        <f t="shared" si="33"/>
        <v>604131.09285686142</v>
      </c>
      <c r="M119" s="89">
        <f t="shared" si="33"/>
        <v>675730.74737780914</v>
      </c>
      <c r="N119" s="89">
        <f t="shared" si="33"/>
        <v>744442.48189875681</v>
      </c>
      <c r="O119" s="89"/>
      <c r="P119" s="69"/>
    </row>
    <row r="120" spans="1:17" ht="12.75" customHeight="1" x14ac:dyDescent="0.2">
      <c r="B120" s="66"/>
      <c r="O120" s="64"/>
      <c r="P120" s="65"/>
    </row>
    <row r="121" spans="1:17" s="35" customFormat="1" ht="31.5" customHeight="1" x14ac:dyDescent="0.2">
      <c r="B121" s="211" t="s">
        <v>225</v>
      </c>
      <c r="C121" s="211"/>
      <c r="D121" s="211"/>
      <c r="E121" s="211"/>
      <c r="F121" s="211"/>
      <c r="G121" s="211"/>
      <c r="H121" s="211"/>
      <c r="I121" s="211"/>
      <c r="J121" s="211"/>
      <c r="K121" s="211"/>
      <c r="L121" s="211"/>
      <c r="O121" s="64"/>
      <c r="P121" s="65"/>
    </row>
    <row r="122" spans="1:17" s="35" customFormat="1" ht="12.75" customHeight="1" x14ac:dyDescent="0.2">
      <c r="B122" s="66"/>
      <c r="O122" s="64"/>
      <c r="P122" s="65"/>
    </row>
    <row r="123" spans="1:17" ht="12.75" customHeight="1" x14ac:dyDescent="0.2">
      <c r="A123" s="35"/>
      <c r="B123" s="98"/>
      <c r="C123" s="39" t="s">
        <v>145</v>
      </c>
      <c r="D123" s="39" t="s">
        <v>146</v>
      </c>
      <c r="E123" s="39" t="s">
        <v>147</v>
      </c>
      <c r="F123" s="39" t="s">
        <v>148</v>
      </c>
      <c r="G123" s="39" t="s">
        <v>149</v>
      </c>
      <c r="H123" s="39" t="s">
        <v>150</v>
      </c>
      <c r="I123" s="39" t="s">
        <v>151</v>
      </c>
      <c r="J123" s="39" t="s">
        <v>152</v>
      </c>
      <c r="K123" s="39" t="s">
        <v>153</v>
      </c>
      <c r="L123" s="39" t="s">
        <v>154</v>
      </c>
      <c r="M123" s="39" t="s">
        <v>155</v>
      </c>
      <c r="N123" s="39" t="s">
        <v>156</v>
      </c>
      <c r="O123" s="68" t="s">
        <v>157</v>
      </c>
      <c r="P123" s="65"/>
    </row>
    <row r="124" spans="1:17" ht="12.75" customHeight="1" x14ac:dyDescent="0.2">
      <c r="A124" s="35"/>
      <c r="B124" s="70" t="s">
        <v>158</v>
      </c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80"/>
      <c r="P124" s="65"/>
    </row>
    <row r="125" spans="1:17" ht="12.75" customHeight="1" x14ac:dyDescent="0.2">
      <c r="A125" s="35"/>
      <c r="B125" s="82" t="s">
        <v>159</v>
      </c>
      <c r="C125" s="15">
        <f>'Charges d''exploitation'!C131</f>
        <v>107445</v>
      </c>
      <c r="D125" s="15">
        <f>'Charges d''exploitation'!D131</f>
        <v>107445</v>
      </c>
      <c r="E125" s="15">
        <f>'Charges d''exploitation'!E131</f>
        <v>107445</v>
      </c>
      <c r="F125" s="15">
        <f>'Charges d''exploitation'!F131</f>
        <v>107445</v>
      </c>
      <c r="G125" s="15">
        <f>'Charges d''exploitation'!G131</f>
        <v>107445</v>
      </c>
      <c r="H125" s="15">
        <f>'Charges d''exploitation'!H131</f>
        <v>107445</v>
      </c>
      <c r="I125" s="15">
        <f>'Charges d''exploitation'!I131</f>
        <v>107445</v>
      </c>
      <c r="J125" s="15">
        <f>'Charges d''exploitation'!J131</f>
        <v>107445</v>
      </c>
      <c r="K125" s="15">
        <f>'Charges d''exploitation'!K131</f>
        <v>107445</v>
      </c>
      <c r="L125" s="15">
        <f>'Charges d''exploitation'!L131</f>
        <v>107445</v>
      </c>
      <c r="M125" s="15">
        <f>'Charges d''exploitation'!M131</f>
        <v>107445</v>
      </c>
      <c r="N125" s="15">
        <f>'Charges d''exploitation'!N131</f>
        <v>107445</v>
      </c>
      <c r="O125" s="100">
        <f>SUM(C125:N125)</f>
        <v>1289340</v>
      </c>
      <c r="P125" s="65"/>
    </row>
    <row r="126" spans="1:17" ht="12.75" customHeight="1" x14ac:dyDescent="0.2">
      <c r="A126" s="35"/>
      <c r="B126" s="82" t="s">
        <v>160</v>
      </c>
      <c r="C126" s="15">
        <f>'Charges d''exploitation'!C132</f>
        <v>35613.95947200001</v>
      </c>
      <c r="D126" s="15">
        <f>'Charges d''exploitation'!D132</f>
        <v>35613.95947200001</v>
      </c>
      <c r="E126" s="15">
        <f>'Charges d''exploitation'!E132</f>
        <v>35613.95947200001</v>
      </c>
      <c r="F126" s="15">
        <f>'Charges d''exploitation'!F132</f>
        <v>35613.95947200001</v>
      </c>
      <c r="G126" s="15">
        <f>'Charges d''exploitation'!G132</f>
        <v>35613.95947200001</v>
      </c>
      <c r="H126" s="15">
        <f>'Charges d''exploitation'!H132</f>
        <v>35613.95947200001</v>
      </c>
      <c r="I126" s="15">
        <f>'Charges d''exploitation'!I132</f>
        <v>35613.95947200001</v>
      </c>
      <c r="J126" s="15">
        <f>'Charges d''exploitation'!J132</f>
        <v>35613.95947200001</v>
      </c>
      <c r="K126" s="15">
        <f>'Charges d''exploitation'!K132</f>
        <v>35613.95947200001</v>
      </c>
      <c r="L126" s="15">
        <f>'Charges d''exploitation'!L132</f>
        <v>35613.95947200001</v>
      </c>
      <c r="M126" s="15">
        <f>'Charges d''exploitation'!M132</f>
        <v>35613.95947200001</v>
      </c>
      <c r="N126" s="15">
        <f>'Charges d''exploitation'!N132</f>
        <v>35613.95947200001</v>
      </c>
      <c r="O126" s="100">
        <f>SUM(C126:N126)</f>
        <v>427367.51366400014</v>
      </c>
      <c r="P126" s="65"/>
    </row>
    <row r="127" spans="1:17" ht="12.75" customHeight="1" x14ac:dyDescent="0.2">
      <c r="A127" s="35"/>
      <c r="B127" s="82" t="s">
        <v>161</v>
      </c>
      <c r="C127" s="15">
        <f>'Charges d''exploitation'!C133</f>
        <v>33060</v>
      </c>
      <c r="D127" s="15">
        <f>'Charges d''exploitation'!D133</f>
        <v>33060</v>
      </c>
      <c r="E127" s="15">
        <f>'Charges d''exploitation'!E133</f>
        <v>33060</v>
      </c>
      <c r="F127" s="15">
        <f>'Charges d''exploitation'!F133</f>
        <v>33060</v>
      </c>
      <c r="G127" s="15">
        <f>'Charges d''exploitation'!G133</f>
        <v>33060</v>
      </c>
      <c r="H127" s="15">
        <f>'Charges d''exploitation'!H133</f>
        <v>33060</v>
      </c>
      <c r="I127" s="15">
        <f>'Charges d''exploitation'!I133</f>
        <v>33060</v>
      </c>
      <c r="J127" s="15">
        <f>'Charges d''exploitation'!J133</f>
        <v>33060</v>
      </c>
      <c r="K127" s="15">
        <f>'Charges d''exploitation'!K133</f>
        <v>33060</v>
      </c>
      <c r="L127" s="15">
        <f>'Charges d''exploitation'!L133</f>
        <v>33060</v>
      </c>
      <c r="M127" s="15">
        <f>'Charges d''exploitation'!M133</f>
        <v>33060</v>
      </c>
      <c r="N127" s="15">
        <f>'Charges d''exploitation'!N133</f>
        <v>33060</v>
      </c>
      <c r="O127" s="100">
        <f>SUM(C127:N127)</f>
        <v>396720</v>
      </c>
      <c r="P127" s="65"/>
    </row>
    <row r="128" spans="1:17" ht="12.75" customHeight="1" x14ac:dyDescent="0.2">
      <c r="A128" s="35"/>
      <c r="B128" s="76" t="s">
        <v>162</v>
      </c>
      <c r="C128" s="77">
        <f t="shared" ref="C128:O128" si="34">SUM(C125:C127)</f>
        <v>176118.95947200002</v>
      </c>
      <c r="D128" s="77">
        <f t="shared" si="34"/>
        <v>176118.95947200002</v>
      </c>
      <c r="E128" s="77">
        <f t="shared" si="34"/>
        <v>176118.95947200002</v>
      </c>
      <c r="F128" s="77">
        <f t="shared" si="34"/>
        <v>176118.95947200002</v>
      </c>
      <c r="G128" s="77">
        <f t="shared" si="34"/>
        <v>176118.95947200002</v>
      </c>
      <c r="H128" s="77">
        <f t="shared" si="34"/>
        <v>176118.95947200002</v>
      </c>
      <c r="I128" s="77">
        <f t="shared" si="34"/>
        <v>176118.95947200002</v>
      </c>
      <c r="J128" s="77">
        <f t="shared" si="34"/>
        <v>176118.95947200002</v>
      </c>
      <c r="K128" s="77">
        <f t="shared" si="34"/>
        <v>176118.95947200002</v>
      </c>
      <c r="L128" s="77">
        <f t="shared" si="34"/>
        <v>176118.95947200002</v>
      </c>
      <c r="M128" s="77">
        <f t="shared" si="34"/>
        <v>176118.95947200002</v>
      </c>
      <c r="N128" s="77">
        <f t="shared" si="34"/>
        <v>176118.95947200002</v>
      </c>
      <c r="O128" s="77">
        <f t="shared" si="34"/>
        <v>2113427.5136640002</v>
      </c>
      <c r="P128" s="65"/>
    </row>
    <row r="129" spans="1:17" ht="12.75" customHeight="1" x14ac:dyDescent="0.2">
      <c r="A129" s="35"/>
      <c r="B129" s="82" t="s">
        <v>124</v>
      </c>
      <c r="C129" s="15">
        <f>'Charges d''exploitation'!C135</f>
        <v>0</v>
      </c>
      <c r="D129" s="15">
        <f>'Charges d''exploitation'!D135</f>
        <v>0</v>
      </c>
      <c r="E129" s="15">
        <f>'Charges d''exploitation'!E135</f>
        <v>33972.479999999996</v>
      </c>
      <c r="F129" s="15">
        <f>'Charges d''exploitation'!F135</f>
        <v>0</v>
      </c>
      <c r="G129" s="15">
        <f>'Charges d''exploitation'!G135</f>
        <v>0</v>
      </c>
      <c r="H129" s="15">
        <f>'Charges d''exploitation'!H135</f>
        <v>16986.239999999998</v>
      </c>
      <c r="I129" s="15">
        <f>'Charges d''exploitation'!I135</f>
        <v>0</v>
      </c>
      <c r="J129" s="15">
        <f>'Charges d''exploitation'!J135</f>
        <v>0</v>
      </c>
      <c r="K129" s="15">
        <f>'Charges d''exploitation'!K135</f>
        <v>16986.239999999998</v>
      </c>
      <c r="L129" s="15">
        <f>'Charges d''exploitation'!L135</f>
        <v>0</v>
      </c>
      <c r="M129" s="15">
        <f>'Charges d''exploitation'!M135</f>
        <v>0</v>
      </c>
      <c r="N129" s="15">
        <f>'Charges d''exploitation'!N135</f>
        <v>16986.239999999998</v>
      </c>
      <c r="O129" s="100">
        <f>SUM(C129:N129)</f>
        <v>84931.199999999983</v>
      </c>
      <c r="P129" s="65"/>
    </row>
    <row r="130" spans="1:17" ht="12.75" customHeight="1" x14ac:dyDescent="0.2">
      <c r="A130" s="35"/>
      <c r="B130" s="82" t="s">
        <v>125</v>
      </c>
      <c r="C130" s="15">
        <f>'Charges d''exploitation'!C136</f>
        <v>4821.25</v>
      </c>
      <c r="D130" s="15">
        <f>'Charges d''exploitation'!D136</f>
        <v>4821.25</v>
      </c>
      <c r="E130" s="15">
        <f>'Charges d''exploitation'!E136</f>
        <v>4821.25</v>
      </c>
      <c r="F130" s="15">
        <f>'Charges d''exploitation'!F136</f>
        <v>4821.25</v>
      </c>
      <c r="G130" s="15">
        <f>'Charges d''exploitation'!G136</f>
        <v>4821.25</v>
      </c>
      <c r="H130" s="15">
        <f>'Charges d''exploitation'!H136</f>
        <v>4821.25</v>
      </c>
      <c r="I130" s="15">
        <f>'Charges d''exploitation'!I136</f>
        <v>4821.25</v>
      </c>
      <c r="J130" s="15">
        <f>'Charges d''exploitation'!J136</f>
        <v>4821.25</v>
      </c>
      <c r="K130" s="15">
        <f>'Charges d''exploitation'!K136</f>
        <v>4821.25</v>
      </c>
      <c r="L130" s="15">
        <f>'Charges d''exploitation'!L136</f>
        <v>4821.25</v>
      </c>
      <c r="M130" s="15">
        <f>'Charges d''exploitation'!M136</f>
        <v>4821.25</v>
      </c>
      <c r="N130" s="15">
        <f>'Charges d''exploitation'!N136</f>
        <v>4821.25</v>
      </c>
      <c r="O130" s="100">
        <f>SUM(C130:N130)</f>
        <v>57855</v>
      </c>
      <c r="P130" s="65"/>
    </row>
    <row r="131" spans="1:17" ht="12.75" customHeight="1" x14ac:dyDescent="0.2">
      <c r="A131" s="35"/>
      <c r="B131" s="76" t="s">
        <v>163</v>
      </c>
      <c r="C131" s="77">
        <f t="shared" ref="C131:O131" si="35">SUM(C129:C130)</f>
        <v>4821.25</v>
      </c>
      <c r="D131" s="77">
        <f t="shared" si="35"/>
        <v>4821.25</v>
      </c>
      <c r="E131" s="77">
        <f t="shared" si="35"/>
        <v>38793.729999999996</v>
      </c>
      <c r="F131" s="77">
        <f t="shared" si="35"/>
        <v>4821.25</v>
      </c>
      <c r="G131" s="77">
        <f t="shared" si="35"/>
        <v>4821.25</v>
      </c>
      <c r="H131" s="77">
        <f t="shared" si="35"/>
        <v>21807.489999999998</v>
      </c>
      <c r="I131" s="77">
        <f t="shared" si="35"/>
        <v>4821.25</v>
      </c>
      <c r="J131" s="77">
        <f t="shared" si="35"/>
        <v>4821.25</v>
      </c>
      <c r="K131" s="77">
        <f t="shared" si="35"/>
        <v>21807.489999999998</v>
      </c>
      <c r="L131" s="77">
        <f t="shared" si="35"/>
        <v>4821.25</v>
      </c>
      <c r="M131" s="77">
        <f t="shared" si="35"/>
        <v>4821.25</v>
      </c>
      <c r="N131" s="77">
        <f t="shared" si="35"/>
        <v>21807.489999999998</v>
      </c>
      <c r="O131" s="77">
        <f t="shared" si="35"/>
        <v>142786.19999999998</v>
      </c>
      <c r="P131" s="65"/>
    </row>
    <row r="132" spans="1:17" s="35" customFormat="1" ht="28" x14ac:dyDescent="0.2">
      <c r="B132" s="98" t="s">
        <v>198</v>
      </c>
      <c r="C132" s="57"/>
      <c r="D132" s="14"/>
      <c r="E132" s="14"/>
      <c r="F132" s="14"/>
      <c r="G132" s="14"/>
      <c r="H132" s="3"/>
      <c r="I132" s="14"/>
      <c r="J132" s="14"/>
      <c r="K132" s="14"/>
      <c r="L132" s="14"/>
      <c r="M132" s="14"/>
      <c r="N132" s="14"/>
      <c r="O132" s="48"/>
      <c r="P132" s="65"/>
    </row>
    <row r="133" spans="1:17" s="35" customFormat="1" ht="24.75" customHeight="1" x14ac:dyDescent="0.2">
      <c r="B133" s="76" t="s">
        <v>199</v>
      </c>
      <c r="C133" s="78">
        <f t="shared" ref="C133:O133" si="36">SUM(C132)</f>
        <v>0</v>
      </c>
      <c r="D133" s="78">
        <f t="shared" si="36"/>
        <v>0</v>
      </c>
      <c r="E133" s="78">
        <f t="shared" si="36"/>
        <v>0</v>
      </c>
      <c r="F133" s="78">
        <f t="shared" si="36"/>
        <v>0</v>
      </c>
      <c r="G133" s="78">
        <f t="shared" si="36"/>
        <v>0</v>
      </c>
      <c r="H133" s="78">
        <f t="shared" si="36"/>
        <v>0</v>
      </c>
      <c r="I133" s="78">
        <f t="shared" si="36"/>
        <v>0</v>
      </c>
      <c r="J133" s="78">
        <f t="shared" si="36"/>
        <v>0</v>
      </c>
      <c r="K133" s="78">
        <f t="shared" si="36"/>
        <v>0</v>
      </c>
      <c r="L133" s="78">
        <f t="shared" si="36"/>
        <v>0</v>
      </c>
      <c r="M133" s="78">
        <f t="shared" si="36"/>
        <v>0</v>
      </c>
      <c r="N133" s="78">
        <f t="shared" si="36"/>
        <v>0</v>
      </c>
      <c r="O133" s="78">
        <f t="shared" si="36"/>
        <v>0</v>
      </c>
      <c r="P133" s="65"/>
    </row>
    <row r="134" spans="1:17" s="35" customFormat="1" x14ac:dyDescent="0.2">
      <c r="B134" s="76" t="s">
        <v>164</v>
      </c>
      <c r="C134" s="110">
        <f t="shared" ref="C134:O134" si="37">C128+C131+C133</f>
        <v>180940.20947200002</v>
      </c>
      <c r="D134" s="110">
        <f t="shared" si="37"/>
        <v>180940.20947200002</v>
      </c>
      <c r="E134" s="110">
        <f t="shared" si="37"/>
        <v>214912.689472</v>
      </c>
      <c r="F134" s="110">
        <f t="shared" si="37"/>
        <v>180940.20947200002</v>
      </c>
      <c r="G134" s="110">
        <f t="shared" si="37"/>
        <v>180940.20947200002</v>
      </c>
      <c r="H134" s="110">
        <f t="shared" si="37"/>
        <v>197926.44947200001</v>
      </c>
      <c r="I134" s="110">
        <f t="shared" si="37"/>
        <v>180940.20947200002</v>
      </c>
      <c r="J134" s="110">
        <f t="shared" si="37"/>
        <v>180940.20947200002</v>
      </c>
      <c r="K134" s="110">
        <f t="shared" si="37"/>
        <v>197926.44947200001</v>
      </c>
      <c r="L134" s="110">
        <f t="shared" si="37"/>
        <v>180940.20947200002</v>
      </c>
      <c r="M134" s="110">
        <f t="shared" si="37"/>
        <v>180940.20947200002</v>
      </c>
      <c r="N134" s="110">
        <f t="shared" si="37"/>
        <v>197926.44947200001</v>
      </c>
      <c r="O134" s="110">
        <f t="shared" si="37"/>
        <v>2256213.7136640004</v>
      </c>
      <c r="P134" s="65"/>
    </row>
    <row r="135" spans="1:17" ht="12.75" customHeight="1" x14ac:dyDescent="0.2">
      <c r="A135" s="35"/>
      <c r="B135" s="70" t="s">
        <v>189</v>
      </c>
      <c r="O135" s="64"/>
      <c r="P135" s="65"/>
    </row>
    <row r="136" spans="1:17" ht="12.75" customHeight="1" x14ac:dyDescent="0.2">
      <c r="A136" s="35"/>
      <c r="B136" s="82" t="s">
        <v>200</v>
      </c>
      <c r="C136" s="14">
        <f>'Charges d''exploitation'!C142</f>
        <v>200</v>
      </c>
      <c r="D136" s="14">
        <f>'Charges d''exploitation'!D142</f>
        <v>200</v>
      </c>
      <c r="E136" s="14">
        <f>'Charges d''exploitation'!E142</f>
        <v>200</v>
      </c>
      <c r="F136" s="14">
        <f>'Charges d''exploitation'!F142</f>
        <v>200</v>
      </c>
      <c r="G136" s="14">
        <f>'Charges d''exploitation'!G142</f>
        <v>200</v>
      </c>
      <c r="H136" s="14">
        <f>'Charges d''exploitation'!H142</f>
        <v>200</v>
      </c>
      <c r="I136" s="14">
        <f>'Charges d''exploitation'!I142</f>
        <v>200</v>
      </c>
      <c r="J136" s="14">
        <f>'Charges d''exploitation'!J142</f>
        <v>200</v>
      </c>
      <c r="K136" s="14">
        <f>'Charges d''exploitation'!K142</f>
        <v>200</v>
      </c>
      <c r="L136" s="14">
        <f>'Charges d''exploitation'!L142</f>
        <v>200</v>
      </c>
      <c r="M136" s="14">
        <f>'Charges d''exploitation'!M142</f>
        <v>200</v>
      </c>
      <c r="N136" s="14">
        <f>'Charges d''exploitation'!N142</f>
        <v>200</v>
      </c>
      <c r="O136" s="81">
        <f>SUM(C136:N136)</f>
        <v>2400</v>
      </c>
      <c r="P136" s="65">
        <v>0.18</v>
      </c>
      <c r="Q136" s="35">
        <f>+O136*P136</f>
        <v>432</v>
      </c>
    </row>
    <row r="137" spans="1:17" ht="12.75" customHeight="1" x14ac:dyDescent="0.2">
      <c r="A137" s="35"/>
      <c r="B137" s="67" t="s">
        <v>168</v>
      </c>
      <c r="C137" s="14">
        <f>'Charges d''exploitation'!C143</f>
        <v>700</v>
      </c>
      <c r="D137" s="14">
        <f>'Charges d''exploitation'!D143</f>
        <v>700</v>
      </c>
      <c r="E137" s="14">
        <f>'Charges d''exploitation'!E143</f>
        <v>700</v>
      </c>
      <c r="F137" s="14">
        <f>'Charges d''exploitation'!F143</f>
        <v>700</v>
      </c>
      <c r="G137" s="14">
        <f>'Charges d''exploitation'!G143</f>
        <v>700</v>
      </c>
      <c r="H137" s="14">
        <f>'Charges d''exploitation'!H143</f>
        <v>700</v>
      </c>
      <c r="I137" s="14">
        <f>'Charges d''exploitation'!I143</f>
        <v>700</v>
      </c>
      <c r="J137" s="14">
        <f>'Charges d''exploitation'!J143</f>
        <v>700</v>
      </c>
      <c r="K137" s="14">
        <f>'Charges d''exploitation'!K143</f>
        <v>700</v>
      </c>
      <c r="L137" s="14">
        <f>'Charges d''exploitation'!L143</f>
        <v>700</v>
      </c>
      <c r="M137" s="14">
        <f>'Charges d''exploitation'!M143</f>
        <v>700</v>
      </c>
      <c r="N137" s="14">
        <f>'Charges d''exploitation'!N143</f>
        <v>700</v>
      </c>
      <c r="O137" s="81">
        <f>SUM(C137:N137)</f>
        <v>8400</v>
      </c>
      <c r="P137" s="65">
        <v>0.12</v>
      </c>
      <c r="Q137" s="35">
        <f>+O137*P137</f>
        <v>1008</v>
      </c>
    </row>
    <row r="138" spans="1:17" ht="12.75" customHeight="1" x14ac:dyDescent="0.2">
      <c r="A138" s="35"/>
      <c r="B138" s="67" t="s">
        <v>167</v>
      </c>
      <c r="C138" s="14">
        <f>'Charges d''exploitation'!C144</f>
        <v>500</v>
      </c>
      <c r="D138" s="14">
        <f>'Charges d''exploitation'!D144</f>
        <v>500</v>
      </c>
      <c r="E138" s="14">
        <f>'Charges d''exploitation'!E144</f>
        <v>500</v>
      </c>
      <c r="F138" s="14">
        <f>'Charges d''exploitation'!F144</f>
        <v>500</v>
      </c>
      <c r="G138" s="14">
        <f>'Charges d''exploitation'!G144</f>
        <v>500</v>
      </c>
      <c r="H138" s="14">
        <f>'Charges d''exploitation'!H144</f>
        <v>500</v>
      </c>
      <c r="I138" s="14">
        <f>'Charges d''exploitation'!I144</f>
        <v>500</v>
      </c>
      <c r="J138" s="14">
        <f>'Charges d''exploitation'!J144</f>
        <v>500</v>
      </c>
      <c r="K138" s="14">
        <f>'Charges d''exploitation'!K144</f>
        <v>500</v>
      </c>
      <c r="L138" s="14">
        <f>'Charges d''exploitation'!L144</f>
        <v>500</v>
      </c>
      <c r="M138" s="14">
        <f>'Charges d''exploitation'!M144</f>
        <v>500</v>
      </c>
      <c r="N138" s="14">
        <f>'Charges d''exploitation'!N144</f>
        <v>500</v>
      </c>
      <c r="O138" s="81">
        <f>SUM(C138:N138)</f>
        <v>6000</v>
      </c>
      <c r="P138" s="65">
        <v>0.12</v>
      </c>
      <c r="Q138" s="35">
        <f>+O138*P138</f>
        <v>720</v>
      </c>
    </row>
    <row r="139" spans="1:17" ht="12.75" customHeight="1" x14ac:dyDescent="0.2">
      <c r="A139" s="35"/>
      <c r="B139" s="76" t="s">
        <v>169</v>
      </c>
      <c r="C139" s="78">
        <f t="shared" ref="C139:O139" si="38">SUM(C136:C138)</f>
        <v>1400</v>
      </c>
      <c r="D139" s="78">
        <f t="shared" si="38"/>
        <v>1400</v>
      </c>
      <c r="E139" s="78">
        <f t="shared" si="38"/>
        <v>1400</v>
      </c>
      <c r="F139" s="78">
        <f t="shared" si="38"/>
        <v>1400</v>
      </c>
      <c r="G139" s="78">
        <f t="shared" si="38"/>
        <v>1400</v>
      </c>
      <c r="H139" s="78">
        <f t="shared" si="38"/>
        <v>1400</v>
      </c>
      <c r="I139" s="78">
        <f t="shared" si="38"/>
        <v>1400</v>
      </c>
      <c r="J139" s="78">
        <f t="shared" si="38"/>
        <v>1400</v>
      </c>
      <c r="K139" s="78">
        <f t="shared" si="38"/>
        <v>1400</v>
      </c>
      <c r="L139" s="78">
        <f t="shared" si="38"/>
        <v>1400</v>
      </c>
      <c r="M139" s="78">
        <f t="shared" si="38"/>
        <v>1400</v>
      </c>
      <c r="N139" s="78">
        <f t="shared" si="38"/>
        <v>1400</v>
      </c>
      <c r="O139" s="78">
        <f t="shared" si="38"/>
        <v>16800</v>
      </c>
      <c r="P139" s="78"/>
      <c r="Q139" s="78">
        <f>SUM(Q136:Q138)</f>
        <v>2160</v>
      </c>
    </row>
    <row r="140" spans="1:17" s="35" customFormat="1" ht="12.75" customHeight="1" x14ac:dyDescent="0.2">
      <c r="B140" s="82" t="s">
        <v>170</v>
      </c>
      <c r="C140" s="40">
        <f>'Charges d''exploitation'!C146</f>
        <v>761.25</v>
      </c>
      <c r="D140" s="40">
        <f>'Charges d''exploitation'!D146</f>
        <v>761.25</v>
      </c>
      <c r="E140" s="40">
        <f>'Charges d''exploitation'!E146</f>
        <v>761.25</v>
      </c>
      <c r="F140" s="40">
        <f>'Charges d''exploitation'!F146</f>
        <v>761.25</v>
      </c>
      <c r="G140" s="40">
        <f>'Charges d''exploitation'!G146</f>
        <v>761.25</v>
      </c>
      <c r="H140" s="40">
        <f>'Charges d''exploitation'!H146</f>
        <v>761.25</v>
      </c>
      <c r="I140" s="40">
        <f>'Charges d''exploitation'!I146</f>
        <v>761.25</v>
      </c>
      <c r="J140" s="40">
        <f>'Charges d''exploitation'!J146</f>
        <v>761.25</v>
      </c>
      <c r="K140" s="40">
        <f>'Charges d''exploitation'!K146</f>
        <v>761.25</v>
      </c>
      <c r="L140" s="40">
        <f>'Charges d''exploitation'!L146</f>
        <v>761.25</v>
      </c>
      <c r="M140" s="40">
        <f>'Charges d''exploitation'!M146</f>
        <v>761.25</v>
      </c>
      <c r="N140" s="40">
        <f>'Charges d''exploitation'!N146</f>
        <v>761.25</v>
      </c>
      <c r="O140" s="40">
        <f>'Frais IBM WATSON'!AW16</f>
        <v>9135</v>
      </c>
      <c r="P140" s="34"/>
      <c r="Q140" s="34"/>
    </row>
    <row r="141" spans="1:17" s="35" customFormat="1" ht="28" x14ac:dyDescent="0.2">
      <c r="B141" s="82" t="s">
        <v>171</v>
      </c>
      <c r="C141" s="40">
        <f>'Charges d''exploitation'!C147</f>
        <v>897.12</v>
      </c>
      <c r="D141" s="40">
        <f>'Charges d''exploitation'!D147</f>
        <v>897.12</v>
      </c>
      <c r="E141" s="40">
        <f>'Charges d''exploitation'!E147</f>
        <v>897.12</v>
      </c>
      <c r="F141" s="40">
        <f>'Charges d''exploitation'!F147</f>
        <v>897.12</v>
      </c>
      <c r="G141" s="40">
        <f>'Charges d''exploitation'!G147</f>
        <v>897.12</v>
      </c>
      <c r="H141" s="40">
        <f>'Charges d''exploitation'!H147</f>
        <v>897.12</v>
      </c>
      <c r="I141" s="40">
        <f>'Charges d''exploitation'!I147</f>
        <v>897.12</v>
      </c>
      <c r="J141" s="40">
        <f>'Charges d''exploitation'!J147</f>
        <v>897.12</v>
      </c>
      <c r="K141" s="40">
        <f>'Charges d''exploitation'!K147</f>
        <v>897.12</v>
      </c>
      <c r="L141" s="40">
        <f>'Charges d''exploitation'!L147</f>
        <v>897.12</v>
      </c>
      <c r="M141" s="40">
        <f>'Charges d''exploitation'!M147</f>
        <v>897.12</v>
      </c>
      <c r="N141" s="40">
        <f>'Charges d''exploitation'!N147</f>
        <v>897.12</v>
      </c>
      <c r="O141" s="40">
        <f>'Frais Readspeaker'!C6</f>
        <v>10765.44</v>
      </c>
      <c r="P141" s="34"/>
      <c r="Q141" s="34"/>
    </row>
    <row r="142" spans="1:17" s="35" customFormat="1" x14ac:dyDescent="0.2">
      <c r="B142" s="82" t="s">
        <v>172</v>
      </c>
      <c r="C142" s="40"/>
      <c r="D142" s="40"/>
      <c r="E142" s="40">
        <f>'Charges d''exploitation'!E148</f>
        <v>21530.880000000001</v>
      </c>
      <c r="F142" s="40"/>
      <c r="G142" s="40"/>
      <c r="H142" s="40">
        <f>'Charges d''exploitation'!H148</f>
        <v>10765.44</v>
      </c>
      <c r="I142" s="40"/>
      <c r="J142" s="40"/>
      <c r="K142" s="40">
        <f>'Charges d''exploitation'!K148</f>
        <v>10765.44</v>
      </c>
      <c r="L142" s="40"/>
      <c r="M142" s="40"/>
      <c r="N142" s="40">
        <f>'Charges d''exploitation'!N148</f>
        <v>10765.44</v>
      </c>
      <c r="O142" s="40">
        <f>SUM(C142:N142)</f>
        <v>53827.200000000004</v>
      </c>
      <c r="P142" s="34"/>
      <c r="Q142" s="34"/>
    </row>
    <row r="143" spans="1:17" ht="26.25" customHeight="1" x14ac:dyDescent="0.2">
      <c r="A143" s="35"/>
      <c r="B143" s="82" t="s">
        <v>208</v>
      </c>
      <c r="C143" s="40">
        <f>'Charges d''exploitation'!C149</f>
        <v>459.99999999999994</v>
      </c>
      <c r="D143" s="40">
        <f>'Charges d''exploitation'!D149</f>
        <v>459.99999999999994</v>
      </c>
      <c r="E143" s="40">
        <f>'Charges d''exploitation'!E149</f>
        <v>459.99999999999994</v>
      </c>
      <c r="F143" s="40">
        <f>'Charges d''exploitation'!F149</f>
        <v>459.99999999999994</v>
      </c>
      <c r="G143" s="40">
        <f>'Charges d''exploitation'!G149</f>
        <v>459.99999999999994</v>
      </c>
      <c r="H143" s="40">
        <f>'Charges d''exploitation'!H149</f>
        <v>459.99999999999994</v>
      </c>
      <c r="I143" s="40">
        <f>'Charges d''exploitation'!I149</f>
        <v>459.99999999999994</v>
      </c>
      <c r="J143" s="40">
        <f>'Charges d''exploitation'!J149</f>
        <v>459.99999999999994</v>
      </c>
      <c r="K143" s="40">
        <f>'Charges d''exploitation'!K149</f>
        <v>459.99999999999994</v>
      </c>
      <c r="L143" s="40">
        <f>'Charges d''exploitation'!L149</f>
        <v>459.99999999999994</v>
      </c>
      <c r="M143" s="40">
        <f>'Charges d''exploitation'!M149</f>
        <v>459.99999999999994</v>
      </c>
      <c r="N143" s="40">
        <f>'Charges d''exploitation'!N149</f>
        <v>459.99999999999994</v>
      </c>
      <c r="O143" s="39">
        <f>SUM(C143:N143)</f>
        <v>5519.9999999999991</v>
      </c>
      <c r="P143" s="34"/>
      <c r="Q143" s="34"/>
    </row>
    <row r="144" spans="1:17" ht="30" customHeight="1" x14ac:dyDescent="0.2">
      <c r="A144" s="35"/>
      <c r="B144" s="82" t="s">
        <v>201</v>
      </c>
      <c r="C144" s="40">
        <f>'Charges d''exploitation'!C150</f>
        <v>6250</v>
      </c>
      <c r="D144" s="40">
        <f>'Charges d''exploitation'!D150</f>
        <v>6250</v>
      </c>
      <c r="E144" s="40">
        <f>'Charges d''exploitation'!E150</f>
        <v>6250</v>
      </c>
      <c r="F144" s="40">
        <f>'Charges d''exploitation'!F150</f>
        <v>6250</v>
      </c>
      <c r="G144" s="40">
        <f>'Charges d''exploitation'!G150</f>
        <v>6250</v>
      </c>
      <c r="H144" s="40">
        <f>'Charges d''exploitation'!H150</f>
        <v>6250</v>
      </c>
      <c r="I144" s="40">
        <f>'Charges d''exploitation'!I150</f>
        <v>6250</v>
      </c>
      <c r="J144" s="40">
        <f>'Charges d''exploitation'!J150</f>
        <v>6250</v>
      </c>
      <c r="K144" s="40">
        <f>'Charges d''exploitation'!K150</f>
        <v>6250</v>
      </c>
      <c r="L144" s="40">
        <f>'Charges d''exploitation'!L150</f>
        <v>6250</v>
      </c>
      <c r="M144" s="40">
        <f>'Charges d''exploitation'!M150</f>
        <v>6250</v>
      </c>
      <c r="N144" s="40">
        <f>'Charges d''exploitation'!N150</f>
        <v>6250</v>
      </c>
      <c r="O144" s="39">
        <f>'Invest-Amort et TVA'!D6*0.15</f>
        <v>75000</v>
      </c>
      <c r="P144" s="34"/>
      <c r="Q144" s="34"/>
    </row>
    <row r="145" spans="1:17" ht="12.75" customHeight="1" x14ac:dyDescent="0.2">
      <c r="A145" s="35"/>
      <c r="B145" s="82" t="s">
        <v>174</v>
      </c>
      <c r="C145" s="40">
        <f>'Charges d''exploitation'!C151</f>
        <v>150</v>
      </c>
      <c r="D145" s="40">
        <f>'Charges d''exploitation'!D151</f>
        <v>150</v>
      </c>
      <c r="E145" s="40">
        <f>'Charges d''exploitation'!E151</f>
        <v>150</v>
      </c>
      <c r="F145" s="40">
        <f>'Charges d''exploitation'!F151</f>
        <v>150</v>
      </c>
      <c r="G145" s="40">
        <f>'Charges d''exploitation'!G151</f>
        <v>150</v>
      </c>
      <c r="H145" s="40">
        <f>'Charges d''exploitation'!H151</f>
        <v>150</v>
      </c>
      <c r="I145" s="40">
        <f>'Charges d''exploitation'!I151</f>
        <v>150</v>
      </c>
      <c r="J145" s="40">
        <f>'Charges d''exploitation'!J151</f>
        <v>150</v>
      </c>
      <c r="K145" s="40">
        <f>'Charges d''exploitation'!K151</f>
        <v>150</v>
      </c>
      <c r="L145" s="40">
        <f>'Charges d''exploitation'!L151</f>
        <v>150</v>
      </c>
      <c r="M145" s="40">
        <f>'Charges d''exploitation'!M151</f>
        <v>150</v>
      </c>
      <c r="N145" s="40">
        <f>'Charges d''exploitation'!N151</f>
        <v>150</v>
      </c>
      <c r="O145" s="81">
        <f t="shared" ref="O145:O152" si="39">SUM(C145:N145)</f>
        <v>1800</v>
      </c>
      <c r="P145" s="34"/>
      <c r="Q145" s="34"/>
    </row>
    <row r="146" spans="1:17" ht="12.75" customHeight="1" x14ac:dyDescent="0.2">
      <c r="A146" s="35"/>
      <c r="B146" s="82" t="s">
        <v>202</v>
      </c>
      <c r="C146" s="40">
        <f>'Charges d''exploitation'!C152</f>
        <v>100</v>
      </c>
      <c r="D146" s="40">
        <f>'Charges d''exploitation'!D152</f>
        <v>100</v>
      </c>
      <c r="E146" s="40">
        <f>'Charges d''exploitation'!E152</f>
        <v>100</v>
      </c>
      <c r="F146" s="40">
        <f>'Charges d''exploitation'!F152</f>
        <v>100</v>
      </c>
      <c r="G146" s="40">
        <f>'Charges d''exploitation'!G152</f>
        <v>100</v>
      </c>
      <c r="H146" s="40">
        <f>'Charges d''exploitation'!H152</f>
        <v>100</v>
      </c>
      <c r="I146" s="40">
        <f>'Charges d''exploitation'!I152</f>
        <v>100</v>
      </c>
      <c r="J146" s="40">
        <f>'Charges d''exploitation'!J152</f>
        <v>100</v>
      </c>
      <c r="K146" s="40">
        <f>'Charges d''exploitation'!K152</f>
        <v>100</v>
      </c>
      <c r="L146" s="40">
        <f>'Charges d''exploitation'!L152</f>
        <v>100</v>
      </c>
      <c r="M146" s="40">
        <f>'Charges d''exploitation'!M152</f>
        <v>100</v>
      </c>
      <c r="N146" s="40">
        <f>'Charges d''exploitation'!N152</f>
        <v>100</v>
      </c>
      <c r="O146" s="81">
        <f t="shared" si="39"/>
        <v>1200</v>
      </c>
      <c r="P146" s="34"/>
      <c r="Q146" s="34"/>
    </row>
    <row r="147" spans="1:17" s="35" customFormat="1" ht="12.75" customHeight="1" x14ac:dyDescent="0.2">
      <c r="B147" s="82" t="s">
        <v>203</v>
      </c>
      <c r="C147" s="40">
        <f>'Charges d''exploitation'!C153</f>
        <v>4620</v>
      </c>
      <c r="D147" s="40">
        <f>'Charges d''exploitation'!D153</f>
        <v>4620</v>
      </c>
      <c r="E147" s="40">
        <f>'Charges d''exploitation'!E153</f>
        <v>4620</v>
      </c>
      <c r="F147" s="40">
        <f>'Charges d''exploitation'!F153</f>
        <v>4620</v>
      </c>
      <c r="G147" s="40">
        <f>'Charges d''exploitation'!G153</f>
        <v>4620</v>
      </c>
      <c r="H147" s="40">
        <f>'Charges d''exploitation'!H153</f>
        <v>4620</v>
      </c>
      <c r="I147" s="40">
        <f>'Charges d''exploitation'!I153</f>
        <v>4620</v>
      </c>
      <c r="J147" s="40">
        <f>'Charges d''exploitation'!J153</f>
        <v>4620</v>
      </c>
      <c r="K147" s="40">
        <f>'Charges d''exploitation'!K153</f>
        <v>4620</v>
      </c>
      <c r="L147" s="40">
        <f>'Charges d''exploitation'!L153</f>
        <v>4620</v>
      </c>
      <c r="M147" s="40">
        <f>'Charges d''exploitation'!M153</f>
        <v>4620</v>
      </c>
      <c r="N147" s="40">
        <f>'Charges d''exploitation'!N153</f>
        <v>4620</v>
      </c>
      <c r="O147" s="81">
        <f t="shared" si="39"/>
        <v>55440</v>
      </c>
      <c r="P147" s="65">
        <v>0.12</v>
      </c>
      <c r="Q147" s="35">
        <f>+O147*P147</f>
        <v>6652.8</v>
      </c>
    </row>
    <row r="148" spans="1:17" s="35" customFormat="1" ht="12.75" customHeight="1" x14ac:dyDescent="0.2">
      <c r="B148" s="82" t="s">
        <v>204</v>
      </c>
      <c r="C148" s="40">
        <f>'Charges d''exploitation'!C154</f>
        <v>300</v>
      </c>
      <c r="D148" s="40">
        <f>'Charges d''exploitation'!D154</f>
        <v>300</v>
      </c>
      <c r="E148" s="40">
        <f>'Charges d''exploitation'!E154</f>
        <v>300</v>
      </c>
      <c r="F148" s="40">
        <f>'Charges d''exploitation'!F154</f>
        <v>300</v>
      </c>
      <c r="G148" s="40">
        <f>'Charges d''exploitation'!G154</f>
        <v>300</v>
      </c>
      <c r="H148" s="40">
        <f>'Charges d''exploitation'!H154</f>
        <v>300</v>
      </c>
      <c r="I148" s="40">
        <f>'Charges d''exploitation'!I154</f>
        <v>300</v>
      </c>
      <c r="J148" s="40">
        <f>'Charges d''exploitation'!J154</f>
        <v>300</v>
      </c>
      <c r="K148" s="40">
        <f>'Charges d''exploitation'!K154</f>
        <v>300</v>
      </c>
      <c r="L148" s="40">
        <f>'Charges d''exploitation'!L154</f>
        <v>300</v>
      </c>
      <c r="M148" s="40">
        <f>'Charges d''exploitation'!M154</f>
        <v>300</v>
      </c>
      <c r="N148" s="40">
        <f>'Charges d''exploitation'!N154</f>
        <v>300</v>
      </c>
      <c r="O148" s="81">
        <f t="shared" si="39"/>
        <v>3600</v>
      </c>
      <c r="P148" s="65">
        <v>0.12</v>
      </c>
      <c r="Q148" s="35">
        <f>+O148*P148</f>
        <v>432</v>
      </c>
    </row>
    <row r="149" spans="1:17" s="35" customFormat="1" ht="12.75" customHeight="1" x14ac:dyDescent="0.2">
      <c r="B149" s="67" t="s">
        <v>178</v>
      </c>
      <c r="C149" s="40">
        <f>'Charges d''exploitation'!C155</f>
        <v>1000</v>
      </c>
      <c r="D149" s="40">
        <f>'Charges d''exploitation'!D155</f>
        <v>1000</v>
      </c>
      <c r="E149" s="40">
        <f>'Charges d''exploitation'!E155</f>
        <v>1000</v>
      </c>
      <c r="F149" s="40">
        <f>'Charges d''exploitation'!F155</f>
        <v>1000</v>
      </c>
      <c r="G149" s="40">
        <f>'Charges d''exploitation'!G155</f>
        <v>1000</v>
      </c>
      <c r="H149" s="40">
        <f>'Charges d''exploitation'!H155</f>
        <v>1000</v>
      </c>
      <c r="I149" s="40">
        <f>'Charges d''exploitation'!I155</f>
        <v>1000</v>
      </c>
      <c r="J149" s="40">
        <f>'Charges d''exploitation'!J155</f>
        <v>1000</v>
      </c>
      <c r="K149" s="40">
        <f>'Charges d''exploitation'!K155</f>
        <v>1000</v>
      </c>
      <c r="L149" s="40">
        <f>'Charges d''exploitation'!L155</f>
        <v>1000</v>
      </c>
      <c r="M149" s="40">
        <f>'Charges d''exploitation'!M155</f>
        <v>1000</v>
      </c>
      <c r="N149" s="40">
        <f>'Charges d''exploitation'!N155</f>
        <v>1000</v>
      </c>
      <c r="O149" s="81">
        <f t="shared" si="39"/>
        <v>12000</v>
      </c>
      <c r="P149" s="65">
        <v>0.18</v>
      </c>
      <c r="Q149" s="35">
        <f>+O149*P149</f>
        <v>2160</v>
      </c>
    </row>
    <row r="150" spans="1:17" s="35" customFormat="1" ht="12.75" customHeight="1" x14ac:dyDescent="0.2">
      <c r="B150" s="82" t="s">
        <v>193</v>
      </c>
      <c r="C150" s="40">
        <f>'Charges d''exploitation'!C156</f>
        <v>1000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81">
        <f t="shared" si="39"/>
        <v>1000</v>
      </c>
      <c r="P150" s="65">
        <v>0.18</v>
      </c>
      <c r="Q150" s="35">
        <f>+O150*P150</f>
        <v>180</v>
      </c>
    </row>
    <row r="151" spans="1:17" s="35" customFormat="1" ht="12.75" customHeight="1" x14ac:dyDescent="0.2">
      <c r="B151" s="82" t="s">
        <v>205</v>
      </c>
      <c r="C151" s="40"/>
      <c r="D151" s="40"/>
      <c r="E151" s="40">
        <f>'Charges d''exploitation'!E157</f>
        <v>53550</v>
      </c>
      <c r="F151" s="40"/>
      <c r="G151" s="40"/>
      <c r="H151" s="40">
        <f>'Charges d''exploitation'!H157</f>
        <v>5350</v>
      </c>
      <c r="I151" s="40"/>
      <c r="J151" s="40"/>
      <c r="K151" s="40">
        <f>'Charges d''exploitation'!K157</f>
        <v>3550</v>
      </c>
      <c r="L151" s="40"/>
      <c r="M151" s="40"/>
      <c r="N151" s="40">
        <f>'Charges d''exploitation'!N157</f>
        <v>8550</v>
      </c>
      <c r="O151" s="81">
        <f t="shared" si="39"/>
        <v>71000</v>
      </c>
      <c r="P151" s="65">
        <v>0.12</v>
      </c>
      <c r="Q151" s="35">
        <f>+O151*P151</f>
        <v>8520</v>
      </c>
    </row>
    <row r="152" spans="1:17" s="35" customFormat="1" ht="12.75" customHeight="1" x14ac:dyDescent="0.2">
      <c r="B152" s="82" t="s">
        <v>209</v>
      </c>
      <c r="C152" s="40"/>
      <c r="D152" s="40"/>
      <c r="E152" s="40">
        <f>'Charges d''exploitation'!E158</f>
        <v>5000</v>
      </c>
      <c r="F152" s="40"/>
      <c r="G152" s="40"/>
      <c r="H152" s="40"/>
      <c r="I152" s="40"/>
      <c r="J152" s="40">
        <f>'Charges d''exploitation'!J158</f>
        <v>5000</v>
      </c>
      <c r="K152" s="40"/>
      <c r="L152" s="40"/>
      <c r="M152" s="40"/>
      <c r="N152" s="40"/>
      <c r="O152" s="81">
        <f t="shared" si="39"/>
        <v>10000</v>
      </c>
      <c r="P152" s="65"/>
      <c r="Q152"/>
    </row>
    <row r="153" spans="1:17" ht="12.75" customHeight="1" x14ac:dyDescent="0.2">
      <c r="A153" s="35"/>
      <c r="B153" s="76" t="s">
        <v>181</v>
      </c>
      <c r="C153" s="77">
        <f t="shared" ref="C153:O153" si="40">SUM(C140:C152)</f>
        <v>15538.369999999999</v>
      </c>
      <c r="D153" s="77">
        <f t="shared" si="40"/>
        <v>14538.369999999999</v>
      </c>
      <c r="E153" s="77">
        <f t="shared" si="40"/>
        <v>94619.25</v>
      </c>
      <c r="F153" s="77">
        <f t="shared" si="40"/>
        <v>14538.369999999999</v>
      </c>
      <c r="G153" s="77">
        <f t="shared" si="40"/>
        <v>14538.369999999999</v>
      </c>
      <c r="H153" s="77">
        <f t="shared" si="40"/>
        <v>30653.81</v>
      </c>
      <c r="I153" s="77">
        <f t="shared" si="40"/>
        <v>14538.369999999999</v>
      </c>
      <c r="J153" s="77">
        <f t="shared" si="40"/>
        <v>19538.37</v>
      </c>
      <c r="K153" s="77">
        <f t="shared" si="40"/>
        <v>28853.81</v>
      </c>
      <c r="L153" s="77">
        <f t="shared" si="40"/>
        <v>14538.369999999999</v>
      </c>
      <c r="M153" s="77">
        <f t="shared" si="40"/>
        <v>14538.369999999999</v>
      </c>
      <c r="N153" s="77">
        <f t="shared" si="40"/>
        <v>33853.81</v>
      </c>
      <c r="O153" s="77">
        <f t="shared" si="40"/>
        <v>310287.64</v>
      </c>
      <c r="P153" s="65"/>
      <c r="Q153" s="78">
        <f>SUM(Q147:Q151)</f>
        <v>17944.8</v>
      </c>
    </row>
    <row r="154" spans="1:17" ht="28" x14ac:dyDescent="0.2">
      <c r="A154" s="35"/>
      <c r="B154" s="88" t="s">
        <v>183</v>
      </c>
      <c r="C154" s="89">
        <f t="shared" ref="C154:O154" si="41">C139+C153</f>
        <v>16938.37</v>
      </c>
      <c r="D154" s="89">
        <f t="shared" si="41"/>
        <v>15938.369999999999</v>
      </c>
      <c r="E154" s="89">
        <f t="shared" si="41"/>
        <v>96019.25</v>
      </c>
      <c r="F154" s="89">
        <f t="shared" si="41"/>
        <v>15938.369999999999</v>
      </c>
      <c r="G154" s="89">
        <f t="shared" si="41"/>
        <v>15938.369999999999</v>
      </c>
      <c r="H154" s="89">
        <f t="shared" si="41"/>
        <v>32053.81</v>
      </c>
      <c r="I154" s="89">
        <f t="shared" si="41"/>
        <v>15938.369999999999</v>
      </c>
      <c r="J154" s="89">
        <f t="shared" si="41"/>
        <v>20938.37</v>
      </c>
      <c r="K154" s="89">
        <f t="shared" si="41"/>
        <v>30253.81</v>
      </c>
      <c r="L154" s="89">
        <f t="shared" si="41"/>
        <v>15938.369999999999</v>
      </c>
      <c r="M154" s="89">
        <f t="shared" si="41"/>
        <v>15938.369999999999</v>
      </c>
      <c r="N154" s="89">
        <f t="shared" si="41"/>
        <v>35253.81</v>
      </c>
      <c r="O154" s="89">
        <f t="shared" si="41"/>
        <v>327087.64</v>
      </c>
      <c r="P154" s="65"/>
    </row>
    <row r="155" spans="1:17" ht="29.25" customHeight="1" x14ac:dyDescent="0.2">
      <c r="A155" s="86"/>
      <c r="B155" s="76" t="s">
        <v>216</v>
      </c>
      <c r="C155" s="77">
        <f t="shared" ref="C155:N155" si="42">$O$155/12</f>
        <v>46834.926923076921</v>
      </c>
      <c r="D155" s="77">
        <f t="shared" si="42"/>
        <v>46834.926923076921</v>
      </c>
      <c r="E155" s="77">
        <f t="shared" si="42"/>
        <v>46834.926923076921</v>
      </c>
      <c r="F155" s="77">
        <f t="shared" si="42"/>
        <v>46834.926923076921</v>
      </c>
      <c r="G155" s="77">
        <f t="shared" si="42"/>
        <v>46834.926923076921</v>
      </c>
      <c r="H155" s="77">
        <f t="shared" si="42"/>
        <v>46834.926923076921</v>
      </c>
      <c r="I155" s="77">
        <f t="shared" si="42"/>
        <v>46834.926923076921</v>
      </c>
      <c r="J155" s="77">
        <f t="shared" si="42"/>
        <v>46834.926923076921</v>
      </c>
      <c r="K155" s="77">
        <f t="shared" si="42"/>
        <v>46834.926923076921</v>
      </c>
      <c r="L155" s="77">
        <f t="shared" si="42"/>
        <v>46834.926923076921</v>
      </c>
      <c r="M155" s="77">
        <f t="shared" si="42"/>
        <v>46834.926923076921</v>
      </c>
      <c r="N155" s="77">
        <f t="shared" si="42"/>
        <v>46834.926923076921</v>
      </c>
      <c r="O155" s="77">
        <f>'Budget RH en nombre TTC'!I50</f>
        <v>562019.12307692308</v>
      </c>
      <c r="P155" s="65"/>
      <c r="Q155" s="87"/>
    </row>
    <row r="156" spans="1:17" x14ac:dyDescent="0.2">
      <c r="A156" s="86"/>
      <c r="B156" s="76" t="s">
        <v>134</v>
      </c>
      <c r="C156" s="77">
        <f>'Budget RH en nombre TTC'!G52</f>
        <v>40816.523076923069</v>
      </c>
      <c r="D156" s="78"/>
      <c r="E156" s="78"/>
      <c r="F156" s="77">
        <f>'Budget RH en nombre TTC'!I52</f>
        <v>42151.434230769228</v>
      </c>
      <c r="G156" s="78"/>
      <c r="H156" s="78"/>
      <c r="I156" s="77">
        <f>'Budget RH en nombre TTC'!I52</f>
        <v>42151.434230769228</v>
      </c>
      <c r="J156" s="78"/>
      <c r="K156" s="78"/>
      <c r="L156" s="77">
        <f>'Budget RH en nombre TTC'!I52</f>
        <v>42151.434230769228</v>
      </c>
      <c r="M156" s="78"/>
      <c r="N156" s="78"/>
      <c r="O156" s="77">
        <f>SUM(C156:N156)</f>
        <v>167270.82576923075</v>
      </c>
      <c r="P156" s="65"/>
      <c r="Q156" s="87"/>
    </row>
    <row r="157" spans="1:17" x14ac:dyDescent="0.2">
      <c r="A157" s="86"/>
      <c r="B157" s="76" t="s">
        <v>217</v>
      </c>
      <c r="C157" s="78"/>
      <c r="D157" s="78"/>
      <c r="E157" s="78"/>
      <c r="F157" s="78"/>
      <c r="G157" s="77">
        <f>'CASH FLOW - TRESORERIE'!H33</f>
        <v>301277.24205600005</v>
      </c>
      <c r="H157" s="78"/>
      <c r="I157" s="78"/>
      <c r="J157" s="78"/>
      <c r="K157" s="78"/>
      <c r="L157" s="78"/>
      <c r="M157" s="78"/>
      <c r="N157" s="78"/>
      <c r="O157" s="78"/>
      <c r="P157" s="65"/>
      <c r="Q157" s="87"/>
    </row>
    <row r="158" spans="1:17" x14ac:dyDescent="0.2">
      <c r="A158" s="86"/>
      <c r="B158" s="76" t="s">
        <v>223</v>
      </c>
      <c r="C158" s="77">
        <f t="shared" ref="C158:N158" si="43">$O$158/12</f>
        <v>30050.691104960006</v>
      </c>
      <c r="D158" s="77">
        <f t="shared" si="43"/>
        <v>30050.691104960006</v>
      </c>
      <c r="E158" s="77">
        <f t="shared" si="43"/>
        <v>30050.691104960006</v>
      </c>
      <c r="F158" s="77">
        <f t="shared" si="43"/>
        <v>30050.691104960006</v>
      </c>
      <c r="G158" s="77">
        <f t="shared" si="43"/>
        <v>30050.691104960006</v>
      </c>
      <c r="H158" s="77">
        <f t="shared" si="43"/>
        <v>30050.691104960006</v>
      </c>
      <c r="I158" s="77">
        <f t="shared" si="43"/>
        <v>30050.691104960006</v>
      </c>
      <c r="J158" s="77">
        <f t="shared" si="43"/>
        <v>30050.691104960006</v>
      </c>
      <c r="K158" s="77">
        <f t="shared" si="43"/>
        <v>30050.691104960006</v>
      </c>
      <c r="L158" s="77">
        <f t="shared" si="43"/>
        <v>30050.691104960006</v>
      </c>
      <c r="M158" s="77">
        <f t="shared" si="43"/>
        <v>30050.691104960006</v>
      </c>
      <c r="N158" s="77">
        <f t="shared" si="43"/>
        <v>30050.691104960006</v>
      </c>
      <c r="O158" s="77">
        <f>'Calcul de TVA à payer'!L35</f>
        <v>360608.29325952008</v>
      </c>
      <c r="P158" s="65"/>
      <c r="Q158" s="87"/>
    </row>
    <row r="159" spans="1:17" x14ac:dyDescent="0.2">
      <c r="B159" s="88" t="s">
        <v>219</v>
      </c>
      <c r="C159" s="89">
        <f t="shared" ref="C159:O159" si="44">C134-C154-C155-C156-C157-C158</f>
        <v>46299.698367040037</v>
      </c>
      <c r="D159" s="89">
        <f t="shared" si="44"/>
        <v>88116.221443963106</v>
      </c>
      <c r="E159" s="89">
        <f t="shared" si="44"/>
        <v>42007.821443963083</v>
      </c>
      <c r="F159" s="89">
        <f t="shared" si="44"/>
        <v>45964.787213193878</v>
      </c>
      <c r="G159" s="89">
        <f t="shared" si="44"/>
        <v>-213161.02061203695</v>
      </c>
      <c r="H159" s="89">
        <f t="shared" si="44"/>
        <v>88987.021443963094</v>
      </c>
      <c r="I159" s="89">
        <f t="shared" si="44"/>
        <v>45964.787213193878</v>
      </c>
      <c r="J159" s="89">
        <f t="shared" si="44"/>
        <v>83116.221443963106</v>
      </c>
      <c r="K159" s="89">
        <f t="shared" si="44"/>
        <v>90787.021443963094</v>
      </c>
      <c r="L159" s="89">
        <f t="shared" si="44"/>
        <v>45964.787213193878</v>
      </c>
      <c r="M159" s="89">
        <f t="shared" si="44"/>
        <v>88116.221443963106</v>
      </c>
      <c r="N159" s="89">
        <f t="shared" si="44"/>
        <v>85787.021443963094</v>
      </c>
      <c r="O159" s="89">
        <f t="shared" si="44"/>
        <v>839227.83155832626</v>
      </c>
      <c r="P159" s="69"/>
    </row>
    <row r="160" spans="1:17" x14ac:dyDescent="0.2">
      <c r="B160" s="88" t="s">
        <v>220</v>
      </c>
      <c r="C160" s="89">
        <f>C159</f>
        <v>46299.698367040037</v>
      </c>
      <c r="D160" s="89">
        <f t="shared" ref="D160:N160" si="45">D159+C160</f>
        <v>134415.91981100314</v>
      </c>
      <c r="E160" s="89">
        <f t="shared" si="45"/>
        <v>176423.74125496624</v>
      </c>
      <c r="F160" s="89">
        <f t="shared" si="45"/>
        <v>222388.52846816013</v>
      </c>
      <c r="G160" s="89">
        <f t="shared" si="45"/>
        <v>9227.5078561231785</v>
      </c>
      <c r="H160" s="89">
        <f t="shared" si="45"/>
        <v>98214.529300086273</v>
      </c>
      <c r="I160" s="89">
        <f t="shared" si="45"/>
        <v>144179.31651328015</v>
      </c>
      <c r="J160" s="89">
        <f t="shared" si="45"/>
        <v>227295.53795724327</v>
      </c>
      <c r="K160" s="89">
        <f t="shared" si="45"/>
        <v>318082.55940120638</v>
      </c>
      <c r="L160" s="89">
        <f t="shared" si="45"/>
        <v>364047.34661440027</v>
      </c>
      <c r="M160" s="89">
        <f t="shared" si="45"/>
        <v>452163.56805836339</v>
      </c>
      <c r="N160" s="89">
        <f t="shared" si="45"/>
        <v>537950.58950232645</v>
      </c>
      <c r="O160" s="89"/>
      <c r="P160" s="69"/>
    </row>
    <row r="161" spans="1:17" x14ac:dyDescent="0.2">
      <c r="B161" s="66"/>
      <c r="O161" s="64"/>
      <c r="P161" s="65"/>
    </row>
    <row r="162" spans="1:17" s="35" customFormat="1" ht="20.25" customHeight="1" x14ac:dyDescent="0.2">
      <c r="B162" s="211" t="s">
        <v>226</v>
      </c>
      <c r="C162" s="211"/>
      <c r="D162" s="211"/>
      <c r="E162" s="211"/>
      <c r="F162" s="211"/>
      <c r="G162" s="211"/>
      <c r="H162" s="211"/>
      <c r="I162" s="211"/>
      <c r="J162" s="211"/>
      <c r="K162" s="211"/>
      <c r="L162" s="211"/>
      <c r="O162" s="64"/>
      <c r="P162" s="65"/>
    </row>
    <row r="163" spans="1:17" s="35" customFormat="1" x14ac:dyDescent="0.2">
      <c r="B163" s="66"/>
      <c r="O163" s="64"/>
      <c r="P163" s="65"/>
    </row>
    <row r="164" spans="1:17" s="35" customFormat="1" x14ac:dyDescent="0.2">
      <c r="B164" s="98"/>
      <c r="C164" s="39" t="s">
        <v>145</v>
      </c>
      <c r="D164" s="39" t="s">
        <v>146</v>
      </c>
      <c r="E164" s="39" t="s">
        <v>147</v>
      </c>
      <c r="F164" s="39" t="s">
        <v>148</v>
      </c>
      <c r="G164" s="39" t="s">
        <v>149</v>
      </c>
      <c r="H164" s="39" t="s">
        <v>150</v>
      </c>
      <c r="I164" s="39" t="s">
        <v>151</v>
      </c>
      <c r="J164" s="39" t="s">
        <v>152</v>
      </c>
      <c r="K164" s="39" t="s">
        <v>153</v>
      </c>
      <c r="L164" s="39" t="s">
        <v>154</v>
      </c>
      <c r="M164" s="39" t="s">
        <v>155</v>
      </c>
      <c r="N164" s="39" t="s">
        <v>156</v>
      </c>
      <c r="O164" s="68" t="s">
        <v>157</v>
      </c>
      <c r="P164" s="65"/>
    </row>
    <row r="165" spans="1:17" s="35" customFormat="1" ht="12.75" customHeight="1" x14ac:dyDescent="0.2">
      <c r="B165" s="70" t="s">
        <v>211</v>
      </c>
      <c r="C165" s="79"/>
      <c r="D165" s="79"/>
      <c r="E165" s="79"/>
      <c r="F165" s="79"/>
      <c r="G165" s="79"/>
      <c r="H165" s="79"/>
      <c r="I165" s="79"/>
      <c r="J165" s="79"/>
      <c r="K165" s="79"/>
      <c r="L165" s="79"/>
      <c r="M165" s="79"/>
      <c r="N165" s="79"/>
      <c r="O165" s="80"/>
      <c r="P165" s="65"/>
    </row>
    <row r="166" spans="1:17" s="35" customFormat="1" ht="12.75" customHeight="1" x14ac:dyDescent="0.2">
      <c r="B166" s="82" t="s">
        <v>159</v>
      </c>
      <c r="C166" s="15">
        <f>'Charges d''exploitation'!C178</f>
        <v>118560</v>
      </c>
      <c r="D166" s="15">
        <f>'Charges d''exploitation'!D178</f>
        <v>118560</v>
      </c>
      <c r="E166" s="15">
        <f>'Charges d''exploitation'!E178</f>
        <v>118560</v>
      </c>
      <c r="F166" s="15">
        <f>'Charges d''exploitation'!F178</f>
        <v>118560</v>
      </c>
      <c r="G166" s="15">
        <f>'Charges d''exploitation'!G178</f>
        <v>118560</v>
      </c>
      <c r="H166" s="15">
        <f>'Charges d''exploitation'!H178</f>
        <v>118560</v>
      </c>
      <c r="I166" s="15">
        <f>'Charges d''exploitation'!I178</f>
        <v>118560</v>
      </c>
      <c r="J166" s="15">
        <f>'Charges d''exploitation'!J178</f>
        <v>118560</v>
      </c>
      <c r="K166" s="15">
        <f>'Charges d''exploitation'!K178</f>
        <v>118560</v>
      </c>
      <c r="L166" s="15">
        <f>'Charges d''exploitation'!L178</f>
        <v>118560</v>
      </c>
      <c r="M166" s="15">
        <f>'Charges d''exploitation'!M178</f>
        <v>118560</v>
      </c>
      <c r="N166" s="15">
        <f>'Charges d''exploitation'!N178</f>
        <v>118560</v>
      </c>
      <c r="O166" s="100">
        <f>SUM(C166:N166)</f>
        <v>1422720</v>
      </c>
      <c r="P166" s="65"/>
    </row>
    <row r="167" spans="1:17" s="35" customFormat="1" ht="12.75" customHeight="1" x14ac:dyDescent="0.2">
      <c r="B167" s="82" t="s">
        <v>160</v>
      </c>
      <c r="C167" s="15">
        <f>'Charges d''exploitation'!C179</f>
        <v>37258.610688000001</v>
      </c>
      <c r="D167" s="15">
        <f>'Charges d''exploitation'!D179</f>
        <v>37258.610688000001</v>
      </c>
      <c r="E167" s="15">
        <f>'Charges d''exploitation'!E179</f>
        <v>37258.610688000001</v>
      </c>
      <c r="F167" s="15">
        <f>'Charges d''exploitation'!F179</f>
        <v>37258.610688000001</v>
      </c>
      <c r="G167" s="15">
        <f>'Charges d''exploitation'!G179</f>
        <v>37258.610688000001</v>
      </c>
      <c r="H167" s="15">
        <f>'Charges d''exploitation'!H179</f>
        <v>37258.610688000001</v>
      </c>
      <c r="I167" s="15">
        <f>'Charges d''exploitation'!I179</f>
        <v>37258.610688000001</v>
      </c>
      <c r="J167" s="15">
        <f>'Charges d''exploitation'!J179</f>
        <v>37258.610688000001</v>
      </c>
      <c r="K167" s="15">
        <f>'Charges d''exploitation'!K179</f>
        <v>37258.610688000001</v>
      </c>
      <c r="L167" s="15">
        <f>'Charges d''exploitation'!L179</f>
        <v>37258.610688000001</v>
      </c>
      <c r="M167" s="15">
        <f>'Charges d''exploitation'!M179</f>
        <v>37258.610688000001</v>
      </c>
      <c r="N167" s="15">
        <f>'Charges d''exploitation'!N179</f>
        <v>37258.610688000001</v>
      </c>
      <c r="O167" s="100">
        <f>SUM(C167:N167)</f>
        <v>447103.32825599989</v>
      </c>
      <c r="P167" s="65"/>
    </row>
    <row r="168" spans="1:17" s="35" customFormat="1" ht="12.75" customHeight="1" x14ac:dyDescent="0.2">
      <c r="B168" s="82" t="s">
        <v>161</v>
      </c>
      <c r="C168" s="15">
        <f>'Charges d''exploitation'!C180</f>
        <v>36480</v>
      </c>
      <c r="D168" s="15">
        <f>'Charges d''exploitation'!D180</f>
        <v>36480</v>
      </c>
      <c r="E168" s="15">
        <f>'Charges d''exploitation'!E180</f>
        <v>36480</v>
      </c>
      <c r="F168" s="15">
        <f>'Charges d''exploitation'!F180</f>
        <v>36480</v>
      </c>
      <c r="G168" s="15">
        <f>'Charges d''exploitation'!G180</f>
        <v>36480</v>
      </c>
      <c r="H168" s="15">
        <f>'Charges d''exploitation'!H180</f>
        <v>36480</v>
      </c>
      <c r="I168" s="15">
        <f>'Charges d''exploitation'!I180</f>
        <v>36480</v>
      </c>
      <c r="J168" s="15">
        <f>'Charges d''exploitation'!J180</f>
        <v>36480</v>
      </c>
      <c r="K168" s="15">
        <f>'Charges d''exploitation'!K180</f>
        <v>36480</v>
      </c>
      <c r="L168" s="15">
        <f>'Charges d''exploitation'!L180</f>
        <v>36480</v>
      </c>
      <c r="M168" s="15">
        <f>'Charges d''exploitation'!M180</f>
        <v>36480</v>
      </c>
      <c r="N168" s="15">
        <f>'Charges d''exploitation'!N180</f>
        <v>36480</v>
      </c>
      <c r="O168" s="100">
        <f>SUM(C168:N168)</f>
        <v>437760</v>
      </c>
      <c r="P168" s="65"/>
    </row>
    <row r="169" spans="1:17" s="35" customFormat="1" ht="12.75" customHeight="1" x14ac:dyDescent="0.2">
      <c r="B169" s="76" t="s">
        <v>162</v>
      </c>
      <c r="C169" s="77">
        <f t="shared" ref="C169:O169" si="46">SUM(C166:C168)</f>
        <v>192298.61068799999</v>
      </c>
      <c r="D169" s="77">
        <f t="shared" si="46"/>
        <v>192298.61068799999</v>
      </c>
      <c r="E169" s="77">
        <f t="shared" si="46"/>
        <v>192298.61068799999</v>
      </c>
      <c r="F169" s="77">
        <f t="shared" si="46"/>
        <v>192298.61068799999</v>
      </c>
      <c r="G169" s="77">
        <f t="shared" si="46"/>
        <v>192298.61068799999</v>
      </c>
      <c r="H169" s="77">
        <f t="shared" si="46"/>
        <v>192298.61068799999</v>
      </c>
      <c r="I169" s="77">
        <f t="shared" si="46"/>
        <v>192298.61068799999</v>
      </c>
      <c r="J169" s="77">
        <f t="shared" si="46"/>
        <v>192298.61068799999</v>
      </c>
      <c r="K169" s="77">
        <f t="shared" si="46"/>
        <v>192298.61068799999</v>
      </c>
      <c r="L169" s="77">
        <f t="shared" si="46"/>
        <v>192298.61068799999</v>
      </c>
      <c r="M169" s="77">
        <f t="shared" si="46"/>
        <v>192298.61068799999</v>
      </c>
      <c r="N169" s="77">
        <f t="shared" si="46"/>
        <v>192298.61068799999</v>
      </c>
      <c r="O169" s="77">
        <f t="shared" si="46"/>
        <v>2307583.3282559998</v>
      </c>
      <c r="P169" s="65"/>
    </row>
    <row r="170" spans="1:17" s="35" customFormat="1" ht="12.75" customHeight="1" x14ac:dyDescent="0.2">
      <c r="B170" s="82" t="s">
        <v>124</v>
      </c>
      <c r="C170" s="15"/>
      <c r="D170" s="15"/>
      <c r="E170" s="15">
        <f>'Charges d''exploitation'!E182</f>
        <v>33972.479999999996</v>
      </c>
      <c r="F170" s="15"/>
      <c r="G170" s="15"/>
      <c r="H170" s="15">
        <f>'Charges d''exploitation'!H182</f>
        <v>16986.239999999998</v>
      </c>
      <c r="I170" s="15"/>
      <c r="J170" s="15"/>
      <c r="K170" s="15">
        <f>'Charges d''exploitation'!K182</f>
        <v>16986.239999999998</v>
      </c>
      <c r="L170" s="15"/>
      <c r="M170" s="15"/>
      <c r="N170" s="15">
        <f>'Charges d''exploitation'!N182</f>
        <v>16986.239999999998</v>
      </c>
      <c r="O170" s="100">
        <f>SUM(C170:N170)</f>
        <v>84931.199999999983</v>
      </c>
      <c r="P170" s="65"/>
    </row>
    <row r="171" spans="1:17" s="35" customFormat="1" ht="12.75" customHeight="1" x14ac:dyDescent="0.2">
      <c r="B171" s="82" t="s">
        <v>125</v>
      </c>
      <c r="C171" s="15">
        <f>'Charges d''exploitation'!C183</f>
        <v>5320</v>
      </c>
      <c r="D171" s="15">
        <f>'Charges d''exploitation'!D183</f>
        <v>5320</v>
      </c>
      <c r="E171" s="15">
        <f>'Charges d''exploitation'!E183</f>
        <v>5320</v>
      </c>
      <c r="F171" s="15">
        <f>'Charges d''exploitation'!F183</f>
        <v>5320</v>
      </c>
      <c r="G171" s="15">
        <f>'Charges d''exploitation'!G183</f>
        <v>5320</v>
      </c>
      <c r="H171" s="15">
        <f>'Charges d''exploitation'!H183</f>
        <v>5320</v>
      </c>
      <c r="I171" s="15">
        <f>'Charges d''exploitation'!I183</f>
        <v>5320</v>
      </c>
      <c r="J171" s="15">
        <f>'Charges d''exploitation'!J183</f>
        <v>5320</v>
      </c>
      <c r="K171" s="15">
        <f>'Charges d''exploitation'!K183</f>
        <v>5320</v>
      </c>
      <c r="L171" s="15">
        <f>'Charges d''exploitation'!L183</f>
        <v>5320</v>
      </c>
      <c r="M171" s="15">
        <f>'Charges d''exploitation'!M183</f>
        <v>5320</v>
      </c>
      <c r="N171" s="15">
        <f>'Charges d''exploitation'!N183</f>
        <v>5320</v>
      </c>
      <c r="O171" s="100">
        <f>SUM(C171:N171)</f>
        <v>63840</v>
      </c>
      <c r="P171" s="65"/>
    </row>
    <row r="172" spans="1:17" s="35" customFormat="1" ht="12.75" customHeight="1" x14ac:dyDescent="0.2">
      <c r="B172" s="76" t="s">
        <v>163</v>
      </c>
      <c r="C172" s="77">
        <f t="shared" ref="C172:O172" si="47">SUM(C170:C171)</f>
        <v>5320</v>
      </c>
      <c r="D172" s="77">
        <f t="shared" si="47"/>
        <v>5320</v>
      </c>
      <c r="E172" s="77">
        <f t="shared" si="47"/>
        <v>39292.479999999996</v>
      </c>
      <c r="F172" s="77">
        <f t="shared" si="47"/>
        <v>5320</v>
      </c>
      <c r="G172" s="77">
        <f t="shared" si="47"/>
        <v>5320</v>
      </c>
      <c r="H172" s="77">
        <f t="shared" si="47"/>
        <v>22306.239999999998</v>
      </c>
      <c r="I172" s="77">
        <f t="shared" si="47"/>
        <v>5320</v>
      </c>
      <c r="J172" s="77">
        <f t="shared" si="47"/>
        <v>5320</v>
      </c>
      <c r="K172" s="77">
        <f t="shared" si="47"/>
        <v>22306.239999999998</v>
      </c>
      <c r="L172" s="77">
        <f t="shared" si="47"/>
        <v>5320</v>
      </c>
      <c r="M172" s="77">
        <f t="shared" si="47"/>
        <v>5320</v>
      </c>
      <c r="N172" s="77">
        <f t="shared" si="47"/>
        <v>22306.239999999998</v>
      </c>
      <c r="O172" s="77">
        <f t="shared" si="47"/>
        <v>148771.19999999998</v>
      </c>
      <c r="P172" s="65"/>
    </row>
    <row r="173" spans="1:17" s="35" customFormat="1" x14ac:dyDescent="0.2">
      <c r="B173" s="76" t="s">
        <v>164</v>
      </c>
      <c r="C173" s="77">
        <f t="shared" ref="C173:O173" si="48">C169+C172</f>
        <v>197618.61068799999</v>
      </c>
      <c r="D173" s="77">
        <f t="shared" si="48"/>
        <v>197618.61068799999</v>
      </c>
      <c r="E173" s="77">
        <f t="shared" si="48"/>
        <v>231591.09068799997</v>
      </c>
      <c r="F173" s="77">
        <f t="shared" si="48"/>
        <v>197618.61068799999</v>
      </c>
      <c r="G173" s="77">
        <f t="shared" si="48"/>
        <v>197618.61068799999</v>
      </c>
      <c r="H173" s="77">
        <f t="shared" si="48"/>
        <v>214604.85068799998</v>
      </c>
      <c r="I173" s="77">
        <f t="shared" si="48"/>
        <v>197618.61068799999</v>
      </c>
      <c r="J173" s="77">
        <f t="shared" si="48"/>
        <v>197618.61068799999</v>
      </c>
      <c r="K173" s="77">
        <f t="shared" si="48"/>
        <v>214604.85068799998</v>
      </c>
      <c r="L173" s="77">
        <f t="shared" si="48"/>
        <v>197618.61068799999</v>
      </c>
      <c r="M173" s="77">
        <f t="shared" si="48"/>
        <v>197618.61068799999</v>
      </c>
      <c r="N173" s="77">
        <f t="shared" si="48"/>
        <v>214604.85068799998</v>
      </c>
      <c r="O173" s="77">
        <f t="shared" si="48"/>
        <v>2456354.528256</v>
      </c>
      <c r="P173" s="65"/>
    </row>
    <row r="174" spans="1:17" ht="12.75" customHeight="1" x14ac:dyDescent="0.2">
      <c r="A174" s="35"/>
      <c r="B174" s="70" t="s">
        <v>189</v>
      </c>
      <c r="O174" s="64"/>
      <c r="P174" s="65"/>
    </row>
    <row r="175" spans="1:17" ht="12.75" customHeight="1" x14ac:dyDescent="0.2">
      <c r="A175" s="35"/>
      <c r="B175" s="82" t="s">
        <v>200</v>
      </c>
      <c r="C175" s="14">
        <f>'Charges d''exploitation'!C187</f>
        <v>250</v>
      </c>
      <c r="D175" s="14">
        <f>'Charges d''exploitation'!D187</f>
        <v>250</v>
      </c>
      <c r="E175" s="14">
        <f>'Charges d''exploitation'!E187</f>
        <v>250</v>
      </c>
      <c r="F175" s="14">
        <f>'Charges d''exploitation'!F187</f>
        <v>250</v>
      </c>
      <c r="G175" s="14">
        <f>'Charges d''exploitation'!G187</f>
        <v>250</v>
      </c>
      <c r="H175" s="14">
        <f>'Charges d''exploitation'!H187</f>
        <v>250</v>
      </c>
      <c r="I175" s="14">
        <f>'Charges d''exploitation'!I187</f>
        <v>250</v>
      </c>
      <c r="J175" s="14">
        <f>'Charges d''exploitation'!J187</f>
        <v>250</v>
      </c>
      <c r="K175" s="14">
        <f>'Charges d''exploitation'!K187</f>
        <v>250</v>
      </c>
      <c r="L175" s="14">
        <f>'Charges d''exploitation'!L187</f>
        <v>250</v>
      </c>
      <c r="M175" s="14">
        <f>'Charges d''exploitation'!M187</f>
        <v>250</v>
      </c>
      <c r="N175" s="14">
        <f>'Charges d''exploitation'!N187</f>
        <v>250</v>
      </c>
      <c r="O175" s="81">
        <f>SUM(C175:N175)</f>
        <v>3000</v>
      </c>
      <c r="P175" s="65">
        <v>0.18</v>
      </c>
      <c r="Q175" s="35">
        <f>+O175*P175</f>
        <v>540</v>
      </c>
    </row>
    <row r="176" spans="1:17" ht="12.75" customHeight="1" x14ac:dyDescent="0.2">
      <c r="A176" s="35"/>
      <c r="B176" s="67" t="s">
        <v>168</v>
      </c>
      <c r="C176" s="14">
        <f>'Charges d''exploitation'!C188</f>
        <v>700</v>
      </c>
      <c r="D176" s="14">
        <f>'Charges d''exploitation'!D188</f>
        <v>700</v>
      </c>
      <c r="E176" s="14">
        <f>'Charges d''exploitation'!E188</f>
        <v>700</v>
      </c>
      <c r="F176" s="14">
        <f>'Charges d''exploitation'!F188</f>
        <v>700</v>
      </c>
      <c r="G176" s="14">
        <f>'Charges d''exploitation'!G188</f>
        <v>700</v>
      </c>
      <c r="H176" s="14">
        <f>'Charges d''exploitation'!H188</f>
        <v>700</v>
      </c>
      <c r="I176" s="14">
        <f>'Charges d''exploitation'!I188</f>
        <v>700</v>
      </c>
      <c r="J176" s="14">
        <f>'Charges d''exploitation'!J188</f>
        <v>700</v>
      </c>
      <c r="K176" s="14">
        <f>'Charges d''exploitation'!K188</f>
        <v>700</v>
      </c>
      <c r="L176" s="14">
        <f>'Charges d''exploitation'!L188</f>
        <v>700</v>
      </c>
      <c r="M176" s="14">
        <f>'Charges d''exploitation'!M188</f>
        <v>700</v>
      </c>
      <c r="N176" s="14">
        <f>'Charges d''exploitation'!N188</f>
        <v>700</v>
      </c>
      <c r="O176" s="81">
        <f>SUM(C176:N176)</f>
        <v>8400</v>
      </c>
      <c r="P176" s="65">
        <v>0.12</v>
      </c>
      <c r="Q176" s="35">
        <f>+O176*P176</f>
        <v>1008</v>
      </c>
    </row>
    <row r="177" spans="1:17" ht="12.75" customHeight="1" x14ac:dyDescent="0.2">
      <c r="A177" s="35"/>
      <c r="B177" s="67" t="s">
        <v>167</v>
      </c>
      <c r="C177" s="14">
        <f>'Charges d''exploitation'!C189</f>
        <v>500</v>
      </c>
      <c r="D177" s="14">
        <f>'Charges d''exploitation'!D189</f>
        <v>500</v>
      </c>
      <c r="E177" s="14">
        <f>'Charges d''exploitation'!E189</f>
        <v>500</v>
      </c>
      <c r="F177" s="14">
        <f>'Charges d''exploitation'!F189</f>
        <v>500</v>
      </c>
      <c r="G177" s="14">
        <f>'Charges d''exploitation'!G189</f>
        <v>500</v>
      </c>
      <c r="H177" s="14">
        <f>'Charges d''exploitation'!H189</f>
        <v>500</v>
      </c>
      <c r="I177" s="14">
        <f>'Charges d''exploitation'!I189</f>
        <v>500</v>
      </c>
      <c r="J177" s="14">
        <f>'Charges d''exploitation'!J189</f>
        <v>500</v>
      </c>
      <c r="K177" s="14">
        <f>'Charges d''exploitation'!K189</f>
        <v>500</v>
      </c>
      <c r="L177" s="14">
        <f>'Charges d''exploitation'!L189</f>
        <v>500</v>
      </c>
      <c r="M177" s="14">
        <f>'Charges d''exploitation'!M189</f>
        <v>500</v>
      </c>
      <c r="N177" s="14">
        <f>'Charges d''exploitation'!N189</f>
        <v>500</v>
      </c>
      <c r="O177" s="81">
        <f>SUM(C177:N177)</f>
        <v>6000</v>
      </c>
      <c r="P177" s="65">
        <v>0.12</v>
      </c>
      <c r="Q177" s="35">
        <f>+O177*P177</f>
        <v>720</v>
      </c>
    </row>
    <row r="178" spans="1:17" ht="12.75" customHeight="1" x14ac:dyDescent="0.2">
      <c r="A178" s="35"/>
      <c r="B178" s="76" t="s">
        <v>169</v>
      </c>
      <c r="C178" s="78">
        <f t="shared" ref="C178:O178" si="49">SUM(C175:C177)</f>
        <v>1450</v>
      </c>
      <c r="D178" s="78">
        <f t="shared" si="49"/>
        <v>1450</v>
      </c>
      <c r="E178" s="78">
        <f t="shared" si="49"/>
        <v>1450</v>
      </c>
      <c r="F178" s="78">
        <f t="shared" si="49"/>
        <v>1450</v>
      </c>
      <c r="G178" s="78">
        <f t="shared" si="49"/>
        <v>1450</v>
      </c>
      <c r="H178" s="78">
        <f t="shared" si="49"/>
        <v>1450</v>
      </c>
      <c r="I178" s="78">
        <f t="shared" si="49"/>
        <v>1450</v>
      </c>
      <c r="J178" s="78">
        <f t="shared" si="49"/>
        <v>1450</v>
      </c>
      <c r="K178" s="78">
        <f t="shared" si="49"/>
        <v>1450</v>
      </c>
      <c r="L178" s="78">
        <f t="shared" si="49"/>
        <v>1450</v>
      </c>
      <c r="M178" s="78">
        <f t="shared" si="49"/>
        <v>1450</v>
      </c>
      <c r="N178" s="78">
        <f t="shared" si="49"/>
        <v>1450</v>
      </c>
      <c r="O178" s="78">
        <f t="shared" si="49"/>
        <v>17400</v>
      </c>
      <c r="P178" s="78"/>
      <c r="Q178" s="78">
        <f>SUM(Q175:Q177)</f>
        <v>2268</v>
      </c>
    </row>
    <row r="179" spans="1:17" s="35" customFormat="1" ht="12.75" customHeight="1" x14ac:dyDescent="0.2">
      <c r="B179" s="82" t="s">
        <v>170</v>
      </c>
      <c r="C179" s="39">
        <f>'Charges d''exploitation'!C191</f>
        <v>840</v>
      </c>
      <c r="D179" s="39">
        <f>'Charges d''exploitation'!D191</f>
        <v>840</v>
      </c>
      <c r="E179" s="39">
        <f>'Charges d''exploitation'!E191</f>
        <v>840</v>
      </c>
      <c r="F179" s="39">
        <f>'Charges d''exploitation'!F191</f>
        <v>840</v>
      </c>
      <c r="G179" s="39">
        <f>'Charges d''exploitation'!G191</f>
        <v>840</v>
      </c>
      <c r="H179" s="39">
        <f>'Charges d''exploitation'!H191</f>
        <v>840</v>
      </c>
      <c r="I179" s="39">
        <f>'Charges d''exploitation'!I191</f>
        <v>840</v>
      </c>
      <c r="J179" s="39">
        <f>'Charges d''exploitation'!J191</f>
        <v>840</v>
      </c>
      <c r="K179" s="39">
        <f>'Charges d''exploitation'!K191</f>
        <v>840</v>
      </c>
      <c r="L179" s="39">
        <f>'Charges d''exploitation'!L191</f>
        <v>840</v>
      </c>
      <c r="M179" s="39">
        <f>'Charges d''exploitation'!M191</f>
        <v>840</v>
      </c>
      <c r="N179" s="39">
        <f>'Charges d''exploitation'!N191</f>
        <v>840</v>
      </c>
      <c r="O179" s="40">
        <f>'Frais IBM WATSON'!BI16</f>
        <v>10080</v>
      </c>
      <c r="P179" s="34"/>
      <c r="Q179" s="34"/>
    </row>
    <row r="180" spans="1:17" ht="28" x14ac:dyDescent="0.2">
      <c r="A180" s="35"/>
      <c r="B180" s="82" t="s">
        <v>171</v>
      </c>
      <c r="C180" s="40">
        <f>'Charges d''exploitation'!C192</f>
        <v>850.56</v>
      </c>
      <c r="D180" s="40">
        <f>'Charges d''exploitation'!D192</f>
        <v>850.56</v>
      </c>
      <c r="E180" s="40">
        <f>'Charges d''exploitation'!E192</f>
        <v>850.56</v>
      </c>
      <c r="F180" s="40">
        <f>'Charges d''exploitation'!F192</f>
        <v>850.56</v>
      </c>
      <c r="G180" s="40">
        <f>'Charges d''exploitation'!G192</f>
        <v>850.56</v>
      </c>
      <c r="H180" s="40">
        <f>'Charges d''exploitation'!H192</f>
        <v>850.56</v>
      </c>
      <c r="I180" s="40">
        <f>'Charges d''exploitation'!I192</f>
        <v>850.56</v>
      </c>
      <c r="J180" s="40">
        <f>'Charges d''exploitation'!J192</f>
        <v>850.56</v>
      </c>
      <c r="K180" s="40">
        <f>'Charges d''exploitation'!K192</f>
        <v>850.56</v>
      </c>
      <c r="L180" s="40">
        <f>'Charges d''exploitation'!L192</f>
        <v>850.56</v>
      </c>
      <c r="M180" s="40">
        <f>'Charges d''exploitation'!M192</f>
        <v>850.56</v>
      </c>
      <c r="N180" s="40">
        <f>'Charges d''exploitation'!N192</f>
        <v>850.56</v>
      </c>
      <c r="O180" s="40">
        <f>'Frais Readspeaker'!C7</f>
        <v>10206.719999999999</v>
      </c>
      <c r="P180" s="34"/>
      <c r="Q180" s="34"/>
    </row>
    <row r="181" spans="1:17" ht="12.75" customHeight="1" x14ac:dyDescent="0.2">
      <c r="A181" s="35"/>
      <c r="B181" s="82" t="s">
        <v>172</v>
      </c>
      <c r="C181" s="40"/>
      <c r="D181" s="40"/>
      <c r="E181" s="40">
        <f>'Charges d''exploitation'!E193</f>
        <v>20413.439999999999</v>
      </c>
      <c r="F181" s="40"/>
      <c r="G181" s="40"/>
      <c r="H181" s="40">
        <f>'Charges d''exploitation'!H193</f>
        <v>10206.719999999999</v>
      </c>
      <c r="I181" s="40"/>
      <c r="J181" s="40"/>
      <c r="K181" s="40">
        <f>'Charges d''exploitation'!K193</f>
        <v>10206.719999999999</v>
      </c>
      <c r="L181" s="40"/>
      <c r="M181" s="40"/>
      <c r="N181" s="40">
        <f>'Charges d''exploitation'!N193</f>
        <v>10206.719999999999</v>
      </c>
      <c r="O181" s="40">
        <f>SUM(C181:N181)</f>
        <v>51033.599999999999</v>
      </c>
      <c r="P181" s="34"/>
      <c r="Q181" s="34"/>
    </row>
    <row r="182" spans="1:17" ht="29.25" customHeight="1" x14ac:dyDescent="0.2">
      <c r="A182" s="35"/>
      <c r="B182" s="82" t="s">
        <v>173</v>
      </c>
      <c r="C182" s="40">
        <f>'Charges d''exploitation'!C194</f>
        <v>480</v>
      </c>
      <c r="D182" s="40">
        <f>'Charges d''exploitation'!D194</f>
        <v>480</v>
      </c>
      <c r="E182" s="40">
        <f>'Charges d''exploitation'!E194</f>
        <v>480</v>
      </c>
      <c r="F182" s="40">
        <f>'Charges d''exploitation'!F194</f>
        <v>480</v>
      </c>
      <c r="G182" s="40">
        <f>'Charges d''exploitation'!G194</f>
        <v>480</v>
      </c>
      <c r="H182" s="40">
        <f>'Charges d''exploitation'!H194</f>
        <v>480</v>
      </c>
      <c r="I182" s="40">
        <f>'Charges d''exploitation'!I194</f>
        <v>480</v>
      </c>
      <c r="J182" s="40">
        <f>'Charges d''exploitation'!J194</f>
        <v>480</v>
      </c>
      <c r="K182" s="40">
        <f>'Charges d''exploitation'!K194</f>
        <v>480</v>
      </c>
      <c r="L182" s="40">
        <f>'Charges d''exploitation'!L194</f>
        <v>480</v>
      </c>
      <c r="M182" s="40">
        <f>'Charges d''exploitation'!M194</f>
        <v>480</v>
      </c>
      <c r="N182" s="40">
        <f>'Charges d''exploitation'!N194</f>
        <v>480</v>
      </c>
      <c r="O182" s="39">
        <f>SUM(C182:N182)</f>
        <v>5760</v>
      </c>
      <c r="P182" s="34"/>
      <c r="Q182" s="34"/>
    </row>
    <row r="183" spans="1:17" ht="29.25" customHeight="1" x14ac:dyDescent="0.2">
      <c r="A183" s="35"/>
      <c r="B183" s="82" t="s">
        <v>201</v>
      </c>
      <c r="C183" s="40">
        <f>'Charges d''exploitation'!C195</f>
        <v>6250</v>
      </c>
      <c r="D183" s="40">
        <f>'Charges d''exploitation'!D195</f>
        <v>6250</v>
      </c>
      <c r="E183" s="40">
        <f>'Charges d''exploitation'!E195</f>
        <v>6250</v>
      </c>
      <c r="F183" s="40">
        <f>'Charges d''exploitation'!F195</f>
        <v>6250</v>
      </c>
      <c r="G183" s="40">
        <f>'Charges d''exploitation'!G195</f>
        <v>6250</v>
      </c>
      <c r="H183" s="40">
        <f>'Charges d''exploitation'!H195</f>
        <v>6250</v>
      </c>
      <c r="I183" s="40">
        <f>'Charges d''exploitation'!I195</f>
        <v>6250</v>
      </c>
      <c r="J183" s="40">
        <f>'Charges d''exploitation'!J195</f>
        <v>6250</v>
      </c>
      <c r="K183" s="40">
        <f>'Charges d''exploitation'!K195</f>
        <v>6250</v>
      </c>
      <c r="L183" s="40">
        <f>'Charges d''exploitation'!L195</f>
        <v>6250</v>
      </c>
      <c r="M183" s="40">
        <f>'Charges d''exploitation'!M195</f>
        <v>6250</v>
      </c>
      <c r="N183" s="40">
        <f>'Charges d''exploitation'!N195</f>
        <v>6250</v>
      </c>
      <c r="O183" s="39">
        <f>'Invest-Amort et TVA'!D6*0.15</f>
        <v>75000</v>
      </c>
      <c r="P183" s="34"/>
      <c r="Q183" s="34"/>
    </row>
    <row r="184" spans="1:17" ht="12.75" customHeight="1" x14ac:dyDescent="0.2">
      <c r="A184" s="35"/>
      <c r="B184" s="82" t="s">
        <v>174</v>
      </c>
      <c r="C184" s="40">
        <f>'Charges d''exploitation'!C196</f>
        <v>150</v>
      </c>
      <c r="D184" s="40">
        <f>'Charges d''exploitation'!D196</f>
        <v>150</v>
      </c>
      <c r="E184" s="40">
        <f>'Charges d''exploitation'!E196</f>
        <v>150</v>
      </c>
      <c r="F184" s="40">
        <f>'Charges d''exploitation'!F196</f>
        <v>150</v>
      </c>
      <c r="G184" s="40">
        <f>'Charges d''exploitation'!G196</f>
        <v>150</v>
      </c>
      <c r="H184" s="40">
        <f>'Charges d''exploitation'!H196</f>
        <v>150</v>
      </c>
      <c r="I184" s="40">
        <f>'Charges d''exploitation'!I196</f>
        <v>150</v>
      </c>
      <c r="J184" s="40">
        <f>'Charges d''exploitation'!J196</f>
        <v>150</v>
      </c>
      <c r="K184" s="40">
        <f>'Charges d''exploitation'!K196</f>
        <v>150</v>
      </c>
      <c r="L184" s="40">
        <f>'Charges d''exploitation'!L196</f>
        <v>150</v>
      </c>
      <c r="M184" s="40">
        <f>'Charges d''exploitation'!M196</f>
        <v>150</v>
      </c>
      <c r="N184" s="40">
        <f>'Charges d''exploitation'!N196</f>
        <v>150</v>
      </c>
      <c r="O184" s="81">
        <f t="shared" ref="O184:O190" si="50">SUM(C184:N184)</f>
        <v>1800</v>
      </c>
      <c r="P184" s="34"/>
      <c r="Q184" s="34"/>
    </row>
    <row r="185" spans="1:17" ht="12.75" customHeight="1" x14ac:dyDescent="0.2">
      <c r="A185" s="35"/>
      <c r="B185" s="82" t="s">
        <v>212</v>
      </c>
      <c r="C185" s="40">
        <f>'Charges d''exploitation'!C197</f>
        <v>100</v>
      </c>
      <c r="D185" s="40">
        <f>'Charges d''exploitation'!D197</f>
        <v>100</v>
      </c>
      <c r="E185" s="40">
        <f>'Charges d''exploitation'!E197</f>
        <v>100</v>
      </c>
      <c r="F185" s="40">
        <f>'Charges d''exploitation'!F197</f>
        <v>100</v>
      </c>
      <c r="G185" s="40">
        <f>'Charges d''exploitation'!G197</f>
        <v>100</v>
      </c>
      <c r="H185" s="40">
        <f>'Charges d''exploitation'!H197</f>
        <v>100</v>
      </c>
      <c r="I185" s="40">
        <f>'Charges d''exploitation'!I197</f>
        <v>100</v>
      </c>
      <c r="J185" s="40">
        <f>'Charges d''exploitation'!J197</f>
        <v>100</v>
      </c>
      <c r="K185" s="40">
        <f>'Charges d''exploitation'!K197</f>
        <v>100</v>
      </c>
      <c r="L185" s="40">
        <f>'Charges d''exploitation'!L197</f>
        <v>100</v>
      </c>
      <c r="M185" s="40">
        <f>'Charges d''exploitation'!M197</f>
        <v>100</v>
      </c>
      <c r="N185" s="40">
        <f>'Charges d''exploitation'!N197</f>
        <v>100</v>
      </c>
      <c r="O185" s="81">
        <f t="shared" si="50"/>
        <v>1200</v>
      </c>
      <c r="P185" s="34"/>
      <c r="Q185" s="34"/>
    </row>
    <row r="186" spans="1:17" s="35" customFormat="1" ht="12.75" customHeight="1" x14ac:dyDescent="0.2">
      <c r="B186" s="82" t="s">
        <v>203</v>
      </c>
      <c r="C186" s="40">
        <f>'Charges d''exploitation'!C198</f>
        <v>4851</v>
      </c>
      <c r="D186" s="40">
        <f>'Charges d''exploitation'!D198</f>
        <v>4851</v>
      </c>
      <c r="E186" s="40">
        <f>'Charges d''exploitation'!E198</f>
        <v>4851</v>
      </c>
      <c r="F186" s="40">
        <f>'Charges d''exploitation'!F198</f>
        <v>4851</v>
      </c>
      <c r="G186" s="40">
        <f>'Charges d''exploitation'!G198</f>
        <v>4851</v>
      </c>
      <c r="H186" s="40">
        <f>'Charges d''exploitation'!H198</f>
        <v>4851</v>
      </c>
      <c r="I186" s="40">
        <f>'Charges d''exploitation'!I198</f>
        <v>4851</v>
      </c>
      <c r="J186" s="40">
        <f>'Charges d''exploitation'!J198</f>
        <v>4851</v>
      </c>
      <c r="K186" s="40">
        <f>'Charges d''exploitation'!K198</f>
        <v>4851</v>
      </c>
      <c r="L186" s="40">
        <f>'Charges d''exploitation'!L198</f>
        <v>4851</v>
      </c>
      <c r="M186" s="40">
        <f>'Charges d''exploitation'!M198</f>
        <v>4851</v>
      </c>
      <c r="N186" s="40">
        <f>'Charges d''exploitation'!N198</f>
        <v>4851</v>
      </c>
      <c r="O186" s="81">
        <f t="shared" si="50"/>
        <v>58212</v>
      </c>
      <c r="P186" s="65">
        <v>0.12</v>
      </c>
      <c r="Q186" s="35">
        <f>+O186*P186</f>
        <v>6985.44</v>
      </c>
    </row>
    <row r="187" spans="1:17" s="35" customFormat="1" ht="12.75" customHeight="1" x14ac:dyDescent="0.2">
      <c r="B187" s="82" t="s">
        <v>204</v>
      </c>
      <c r="C187" s="40">
        <f>'Charges d''exploitation'!C199</f>
        <v>300</v>
      </c>
      <c r="D187" s="40">
        <f>'Charges d''exploitation'!D199</f>
        <v>300</v>
      </c>
      <c r="E187" s="40">
        <f>'Charges d''exploitation'!E199</f>
        <v>300</v>
      </c>
      <c r="F187" s="40">
        <f>'Charges d''exploitation'!F199</f>
        <v>300</v>
      </c>
      <c r="G187" s="40">
        <f>'Charges d''exploitation'!G199</f>
        <v>300</v>
      </c>
      <c r="H187" s="40">
        <f>'Charges d''exploitation'!H199</f>
        <v>300</v>
      </c>
      <c r="I187" s="40">
        <f>'Charges d''exploitation'!I199</f>
        <v>300</v>
      </c>
      <c r="J187" s="40">
        <f>'Charges d''exploitation'!J199</f>
        <v>300</v>
      </c>
      <c r="K187" s="40">
        <f>'Charges d''exploitation'!K199</f>
        <v>300</v>
      </c>
      <c r="L187" s="40">
        <f>'Charges d''exploitation'!L199</f>
        <v>300</v>
      </c>
      <c r="M187" s="40">
        <f>'Charges d''exploitation'!M199</f>
        <v>300</v>
      </c>
      <c r="N187" s="40">
        <f>'Charges d''exploitation'!N199</f>
        <v>300</v>
      </c>
      <c r="O187" s="81">
        <f t="shared" si="50"/>
        <v>3600</v>
      </c>
      <c r="P187" s="65">
        <v>0.12</v>
      </c>
      <c r="Q187" s="35">
        <f>+O187*P187</f>
        <v>432</v>
      </c>
    </row>
    <row r="188" spans="1:17" s="35" customFormat="1" ht="12.75" customHeight="1" x14ac:dyDescent="0.2">
      <c r="B188" s="67" t="s">
        <v>178</v>
      </c>
      <c r="C188" s="40">
        <f>'Charges d''exploitation'!C200</f>
        <v>1000</v>
      </c>
      <c r="D188" s="40">
        <f>'Charges d''exploitation'!D200</f>
        <v>1000</v>
      </c>
      <c r="E188" s="40">
        <f>'Charges d''exploitation'!E200</f>
        <v>1000</v>
      </c>
      <c r="F188" s="40">
        <f>'Charges d''exploitation'!F200</f>
        <v>1000</v>
      </c>
      <c r="G188" s="40">
        <f>'Charges d''exploitation'!G200</f>
        <v>1000</v>
      </c>
      <c r="H188" s="40">
        <f>'Charges d''exploitation'!H200</f>
        <v>1000</v>
      </c>
      <c r="I188" s="40">
        <f>'Charges d''exploitation'!I200</f>
        <v>1000</v>
      </c>
      <c r="J188" s="40">
        <f>'Charges d''exploitation'!J200</f>
        <v>1000</v>
      </c>
      <c r="K188" s="40">
        <f>'Charges d''exploitation'!K200</f>
        <v>1000</v>
      </c>
      <c r="L188" s="40">
        <f>'Charges d''exploitation'!L200</f>
        <v>1000</v>
      </c>
      <c r="M188" s="40">
        <f>'Charges d''exploitation'!M200</f>
        <v>1000</v>
      </c>
      <c r="N188" s="40">
        <f>'Charges d''exploitation'!N200</f>
        <v>1000</v>
      </c>
      <c r="O188" s="81">
        <f t="shared" si="50"/>
        <v>12000</v>
      </c>
      <c r="P188" s="65">
        <v>0.18</v>
      </c>
      <c r="Q188" s="35">
        <f>+O188*P188</f>
        <v>2160</v>
      </c>
    </row>
    <row r="189" spans="1:17" s="35" customFormat="1" ht="12.75" customHeight="1" x14ac:dyDescent="0.2">
      <c r="B189" s="82" t="s">
        <v>193</v>
      </c>
      <c r="C189" s="40">
        <f>'Charges d''exploitation'!C201</f>
        <v>1000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81">
        <f t="shared" si="50"/>
        <v>1000</v>
      </c>
      <c r="P189" s="65">
        <v>0.18</v>
      </c>
      <c r="Q189" s="35">
        <f>+O189*P189</f>
        <v>180</v>
      </c>
    </row>
    <row r="190" spans="1:17" s="35" customFormat="1" ht="12.75" customHeight="1" x14ac:dyDescent="0.2">
      <c r="B190" s="82" t="s">
        <v>213</v>
      </c>
      <c r="C190" s="40"/>
      <c r="D190" s="40"/>
      <c r="E190" s="40">
        <f>'Charges d''exploitation'!E202</f>
        <v>3550</v>
      </c>
      <c r="F190" s="40"/>
      <c r="G190" s="40"/>
      <c r="H190" s="40">
        <f>'Charges d''exploitation'!H202</f>
        <v>5350</v>
      </c>
      <c r="I190" s="40"/>
      <c r="J190" s="40"/>
      <c r="K190" s="40">
        <f>'Charges d''exploitation'!K202</f>
        <v>3550</v>
      </c>
      <c r="L190" s="40"/>
      <c r="M190" s="40"/>
      <c r="N190" s="40">
        <f>'Charges d''exploitation'!N202</f>
        <v>8550</v>
      </c>
      <c r="O190" s="81">
        <f t="shared" si="50"/>
        <v>21000</v>
      </c>
      <c r="P190" s="65">
        <v>0.12</v>
      </c>
      <c r="Q190" s="35">
        <f>+O190*P190</f>
        <v>2520</v>
      </c>
    </row>
    <row r="191" spans="1:17" ht="12.75" customHeight="1" x14ac:dyDescent="0.2">
      <c r="A191" s="35"/>
      <c r="B191" s="76" t="s">
        <v>181</v>
      </c>
      <c r="C191" s="77">
        <f t="shared" ref="C191:O191" si="51">SUM(C179:C190)</f>
        <v>15821.56</v>
      </c>
      <c r="D191" s="77">
        <f t="shared" si="51"/>
        <v>14821.56</v>
      </c>
      <c r="E191" s="77">
        <f t="shared" si="51"/>
        <v>38785</v>
      </c>
      <c r="F191" s="77">
        <f t="shared" si="51"/>
        <v>14821.56</v>
      </c>
      <c r="G191" s="77">
        <f t="shared" si="51"/>
        <v>14821.56</v>
      </c>
      <c r="H191" s="77">
        <f t="shared" si="51"/>
        <v>30378.28</v>
      </c>
      <c r="I191" s="77">
        <f t="shared" si="51"/>
        <v>14821.56</v>
      </c>
      <c r="J191" s="77">
        <f t="shared" si="51"/>
        <v>14821.56</v>
      </c>
      <c r="K191" s="77">
        <f t="shared" si="51"/>
        <v>28578.28</v>
      </c>
      <c r="L191" s="77">
        <f t="shared" si="51"/>
        <v>14821.56</v>
      </c>
      <c r="M191" s="77">
        <f t="shared" si="51"/>
        <v>14821.56</v>
      </c>
      <c r="N191" s="77">
        <f t="shared" si="51"/>
        <v>33578.28</v>
      </c>
      <c r="O191" s="77">
        <f t="shared" si="51"/>
        <v>250892.32</v>
      </c>
      <c r="P191" s="65"/>
      <c r="Q191" s="78">
        <f>SUM(Q186:Q190)</f>
        <v>12277.439999999999</v>
      </c>
    </row>
    <row r="192" spans="1:17" ht="28.5" customHeight="1" x14ac:dyDescent="0.2">
      <c r="A192" s="35"/>
      <c r="B192" s="88" t="s">
        <v>183</v>
      </c>
      <c r="C192" s="89">
        <f t="shared" ref="C192:O192" si="52">C178+C191</f>
        <v>17271.559999999998</v>
      </c>
      <c r="D192" s="89">
        <f t="shared" si="52"/>
        <v>16271.56</v>
      </c>
      <c r="E192" s="89">
        <f t="shared" si="52"/>
        <v>40235</v>
      </c>
      <c r="F192" s="89">
        <f t="shared" si="52"/>
        <v>16271.56</v>
      </c>
      <c r="G192" s="89">
        <f t="shared" si="52"/>
        <v>16271.56</v>
      </c>
      <c r="H192" s="89">
        <f t="shared" si="52"/>
        <v>31828.28</v>
      </c>
      <c r="I192" s="89">
        <f t="shared" si="52"/>
        <v>16271.56</v>
      </c>
      <c r="J192" s="89">
        <f t="shared" si="52"/>
        <v>16271.56</v>
      </c>
      <c r="K192" s="89">
        <f t="shared" si="52"/>
        <v>30028.28</v>
      </c>
      <c r="L192" s="89">
        <f t="shared" si="52"/>
        <v>16271.56</v>
      </c>
      <c r="M192" s="89">
        <f t="shared" si="52"/>
        <v>16271.56</v>
      </c>
      <c r="N192" s="89">
        <f t="shared" si="52"/>
        <v>35028.28</v>
      </c>
      <c r="O192" s="89">
        <f t="shared" si="52"/>
        <v>268292.32</v>
      </c>
      <c r="P192" s="65"/>
    </row>
    <row r="193" spans="1:17" ht="29.25" customHeight="1" x14ac:dyDescent="0.2">
      <c r="A193" s="86"/>
      <c r="B193" s="76" t="s">
        <v>216</v>
      </c>
      <c r="C193" s="77">
        <f t="shared" ref="C193:N193" si="53">$O$155/12</f>
        <v>46834.926923076921</v>
      </c>
      <c r="D193" s="77">
        <f t="shared" si="53"/>
        <v>46834.926923076921</v>
      </c>
      <c r="E193" s="77">
        <f t="shared" si="53"/>
        <v>46834.926923076921</v>
      </c>
      <c r="F193" s="77">
        <f t="shared" si="53"/>
        <v>46834.926923076921</v>
      </c>
      <c r="G193" s="77">
        <f t="shared" si="53"/>
        <v>46834.926923076921</v>
      </c>
      <c r="H193" s="77">
        <f t="shared" si="53"/>
        <v>46834.926923076921</v>
      </c>
      <c r="I193" s="77">
        <f t="shared" si="53"/>
        <v>46834.926923076921</v>
      </c>
      <c r="J193" s="77">
        <f t="shared" si="53"/>
        <v>46834.926923076921</v>
      </c>
      <c r="K193" s="77">
        <f t="shared" si="53"/>
        <v>46834.926923076921</v>
      </c>
      <c r="L193" s="77">
        <f t="shared" si="53"/>
        <v>46834.926923076921</v>
      </c>
      <c r="M193" s="77">
        <f t="shared" si="53"/>
        <v>46834.926923076921</v>
      </c>
      <c r="N193" s="77">
        <f t="shared" si="53"/>
        <v>46834.926923076921</v>
      </c>
      <c r="O193" s="77">
        <f>'Budget RH en nombre TTC'!K50</f>
        <v>582487.76076923066</v>
      </c>
      <c r="P193" s="65"/>
      <c r="Q193" s="87"/>
    </row>
    <row r="194" spans="1:17" x14ac:dyDescent="0.2">
      <c r="A194" s="86"/>
      <c r="B194" s="76" t="s">
        <v>134</v>
      </c>
      <c r="C194" s="77">
        <f>'Budget RH en nombre TTC'!I52</f>
        <v>42151.434230769228</v>
      </c>
      <c r="D194" s="78"/>
      <c r="E194" s="78"/>
      <c r="F194" s="77">
        <f>'Budget RH en nombre TTC'!K52</f>
        <v>43686.582057692314</v>
      </c>
      <c r="G194" s="78"/>
      <c r="H194" s="78"/>
      <c r="I194" s="77">
        <f>'Budget RH en nombre TTC'!K52</f>
        <v>43686.582057692314</v>
      </c>
      <c r="J194" s="78"/>
      <c r="K194" s="78"/>
      <c r="L194" s="77">
        <f>'Budget RH en nombre TTC'!K52</f>
        <v>43686.582057692314</v>
      </c>
      <c r="M194" s="78"/>
      <c r="N194" s="78"/>
      <c r="O194" s="77">
        <f>SUM(C194:N194)</f>
        <v>173211.18040384617</v>
      </c>
      <c r="P194" s="65"/>
      <c r="Q194" s="87"/>
    </row>
    <row r="195" spans="1:17" x14ac:dyDescent="0.2">
      <c r="A195" s="86"/>
      <c r="B195" s="76" t="s">
        <v>217</v>
      </c>
      <c r="C195" s="78"/>
      <c r="D195" s="78"/>
      <c r="E195" s="78"/>
      <c r="F195" s="78"/>
      <c r="G195" s="77">
        <f>'CASH FLOW - TRESORERIE'!I33</f>
        <v>261369.8034160001</v>
      </c>
      <c r="H195" s="78"/>
      <c r="I195" s="78"/>
      <c r="J195" s="78"/>
      <c r="K195" s="78"/>
      <c r="L195" s="78"/>
      <c r="M195" s="78"/>
      <c r="N195" s="78"/>
      <c r="O195" s="78"/>
      <c r="P195" s="65"/>
      <c r="Q195" s="87"/>
    </row>
    <row r="196" spans="1:17" x14ac:dyDescent="0.2">
      <c r="A196" s="86"/>
      <c r="B196" s="76" t="s">
        <v>223</v>
      </c>
      <c r="C196" s="77">
        <f t="shared" ref="C196:N196" si="54">$O$196/12</f>
        <v>33549.793123839998</v>
      </c>
      <c r="D196" s="77">
        <f t="shared" si="54"/>
        <v>33549.793123839998</v>
      </c>
      <c r="E196" s="77">
        <f t="shared" si="54"/>
        <v>33549.793123839998</v>
      </c>
      <c r="F196" s="77">
        <f t="shared" si="54"/>
        <v>33549.793123839998</v>
      </c>
      <c r="G196" s="77">
        <f t="shared" si="54"/>
        <v>33549.793123839998</v>
      </c>
      <c r="H196" s="77">
        <f t="shared" si="54"/>
        <v>33549.793123839998</v>
      </c>
      <c r="I196" s="77">
        <f t="shared" si="54"/>
        <v>33549.793123839998</v>
      </c>
      <c r="J196" s="77">
        <f t="shared" si="54"/>
        <v>33549.793123839998</v>
      </c>
      <c r="K196" s="77">
        <f t="shared" si="54"/>
        <v>33549.793123839998</v>
      </c>
      <c r="L196" s="77">
        <f t="shared" si="54"/>
        <v>33549.793123839998</v>
      </c>
      <c r="M196" s="77">
        <f t="shared" si="54"/>
        <v>33549.793123839998</v>
      </c>
      <c r="N196" s="77">
        <f t="shared" si="54"/>
        <v>33549.793123839998</v>
      </c>
      <c r="O196" s="77">
        <f>'Calcul de TVA à payer'!P35</f>
        <v>402597.51748608</v>
      </c>
      <c r="P196" s="65"/>
      <c r="Q196" s="87"/>
    </row>
    <row r="197" spans="1:17" x14ac:dyDescent="0.2">
      <c r="B197" s="88" t="s">
        <v>219</v>
      </c>
      <c r="C197" s="89">
        <f t="shared" ref="C197:O197" si="55">C173-C192-C193-C194-C195-C196</f>
        <v>57810.89641031385</v>
      </c>
      <c r="D197" s="89">
        <f t="shared" si="55"/>
        <v>100962.33064108307</v>
      </c>
      <c r="E197" s="89">
        <f t="shared" si="55"/>
        <v>110971.37064108305</v>
      </c>
      <c r="F197" s="89">
        <f t="shared" si="55"/>
        <v>57275.748583390763</v>
      </c>
      <c r="G197" s="89">
        <f t="shared" si="55"/>
        <v>-160407.47277491703</v>
      </c>
      <c r="H197" s="89">
        <f t="shared" si="55"/>
        <v>102391.85064108306</v>
      </c>
      <c r="I197" s="89">
        <f t="shared" si="55"/>
        <v>57275.748583390763</v>
      </c>
      <c r="J197" s="89">
        <f t="shared" si="55"/>
        <v>100962.33064108307</v>
      </c>
      <c r="K197" s="89">
        <f t="shared" si="55"/>
        <v>104191.85064108306</v>
      </c>
      <c r="L197" s="89">
        <f t="shared" si="55"/>
        <v>57275.748583390763</v>
      </c>
      <c r="M197" s="89">
        <f t="shared" si="55"/>
        <v>100962.33064108307</v>
      </c>
      <c r="N197" s="89">
        <f t="shared" si="55"/>
        <v>99191.85064108306</v>
      </c>
      <c r="O197" s="89">
        <f t="shared" si="55"/>
        <v>1029765.7495968433</v>
      </c>
      <c r="P197" s="69"/>
    </row>
    <row r="198" spans="1:17" x14ac:dyDescent="0.2">
      <c r="B198" s="88" t="s">
        <v>220</v>
      </c>
      <c r="C198" s="89">
        <f>C197</f>
        <v>57810.89641031385</v>
      </c>
      <c r="D198" s="89">
        <f t="shared" ref="D198:N198" si="56">D197+C198</f>
        <v>158773.22705139691</v>
      </c>
      <c r="E198" s="89">
        <f t="shared" si="56"/>
        <v>269744.59769247996</v>
      </c>
      <c r="F198" s="89">
        <f t="shared" si="56"/>
        <v>327020.34627587075</v>
      </c>
      <c r="G198" s="89">
        <f t="shared" si="56"/>
        <v>166612.87350095372</v>
      </c>
      <c r="H198" s="89">
        <f t="shared" si="56"/>
        <v>269004.72414203675</v>
      </c>
      <c r="I198" s="89">
        <f t="shared" si="56"/>
        <v>326280.47272542753</v>
      </c>
      <c r="J198" s="89">
        <f t="shared" si="56"/>
        <v>427242.8033665106</v>
      </c>
      <c r="K198" s="89">
        <f t="shared" si="56"/>
        <v>531434.65400759364</v>
      </c>
      <c r="L198" s="89">
        <f t="shared" si="56"/>
        <v>588710.40259098436</v>
      </c>
      <c r="M198" s="89">
        <f t="shared" si="56"/>
        <v>689672.73323206743</v>
      </c>
      <c r="N198" s="89">
        <f t="shared" si="56"/>
        <v>788864.58387315052</v>
      </c>
      <c r="O198" s="89"/>
      <c r="P198" s="69"/>
    </row>
  </sheetData>
  <mergeCells count="6">
    <mergeCell ref="B162:L162"/>
    <mergeCell ref="B1:L1"/>
    <mergeCell ref="A14:A16"/>
    <mergeCell ref="B42:L42"/>
    <mergeCell ref="B80:L80"/>
    <mergeCell ref="B121:L12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Y36"/>
  <sheetViews>
    <sheetView topLeftCell="A19" zoomScaleNormal="100" workbookViewId="0">
      <selection activeCell="G40" sqref="G40"/>
    </sheetView>
  </sheetViews>
  <sheetFormatPr baseColWidth="10" defaultColWidth="8.83203125" defaultRowHeight="15" x14ac:dyDescent="0.2"/>
  <cols>
    <col min="1" max="1" width="22.1640625" customWidth="1"/>
    <col min="2" max="3" width="9.33203125" customWidth="1"/>
    <col min="4" max="4" width="21.1640625" customWidth="1"/>
    <col min="5" max="5" width="13" customWidth="1"/>
    <col min="6" max="6" width="9.33203125" customWidth="1"/>
    <col min="7" max="7" width="25.83203125" customWidth="1"/>
    <col min="8" max="10" width="9.33203125" customWidth="1"/>
    <col min="11" max="11" width="21.1640625" customWidth="1"/>
    <col min="12" max="12" width="24.5" customWidth="1"/>
    <col min="13" max="13" width="9.33203125" customWidth="1"/>
    <col min="14" max="14" width="9.5" customWidth="1"/>
    <col min="15" max="15" width="21.5" customWidth="1"/>
    <col min="16" max="16" width="13.1640625" customWidth="1"/>
    <col min="17" max="17" width="26.1640625" customWidth="1"/>
    <col min="18" max="21" width="9.1640625" customWidth="1"/>
    <col min="22" max="22" width="22.6640625" customWidth="1"/>
    <col min="23" max="1025" width="9.1640625" customWidth="1"/>
  </cols>
  <sheetData>
    <row r="1" spans="1:25" x14ac:dyDescent="0.2">
      <c r="A1" s="223" t="s">
        <v>227</v>
      </c>
      <c r="B1" s="223"/>
      <c r="C1" s="223"/>
      <c r="D1" s="223"/>
      <c r="G1" s="223" t="s">
        <v>228</v>
      </c>
      <c r="H1" s="223"/>
      <c r="I1" s="223"/>
      <c r="J1" s="223"/>
      <c r="L1" s="223" t="s">
        <v>229</v>
      </c>
      <c r="M1" s="223"/>
      <c r="N1" s="223"/>
      <c r="O1" s="223"/>
      <c r="Q1" s="223" t="s">
        <v>230</v>
      </c>
      <c r="R1" s="223"/>
      <c r="S1" s="223"/>
      <c r="T1" s="223"/>
      <c r="V1" s="223" t="s">
        <v>231</v>
      </c>
      <c r="W1" s="223"/>
      <c r="X1" s="223"/>
      <c r="Y1" s="223"/>
    </row>
    <row r="2" spans="1:25" x14ac:dyDescent="0.2">
      <c r="A2" s="1" t="s">
        <v>189</v>
      </c>
      <c r="B2" s="1" t="s">
        <v>232</v>
      </c>
      <c r="C2" s="1" t="s">
        <v>233</v>
      </c>
      <c r="D2" s="1" t="s">
        <v>234</v>
      </c>
      <c r="G2" s="1" t="s">
        <v>189</v>
      </c>
      <c r="H2" s="1" t="s">
        <v>232</v>
      </c>
      <c r="I2" s="1" t="s">
        <v>233</v>
      </c>
      <c r="J2" s="1" t="s">
        <v>234</v>
      </c>
      <c r="L2" s="1" t="s">
        <v>189</v>
      </c>
      <c r="M2" s="1" t="s">
        <v>232</v>
      </c>
      <c r="N2" s="1" t="s">
        <v>233</v>
      </c>
      <c r="O2" s="1" t="s">
        <v>234</v>
      </c>
      <c r="Q2" s="1" t="s">
        <v>189</v>
      </c>
      <c r="R2" s="1" t="s">
        <v>232</v>
      </c>
      <c r="S2" s="1" t="s">
        <v>233</v>
      </c>
      <c r="T2" s="1" t="s">
        <v>234</v>
      </c>
      <c r="V2" s="1" t="s">
        <v>189</v>
      </c>
      <c r="W2" s="1" t="s">
        <v>232</v>
      </c>
      <c r="X2" s="1" t="s">
        <v>233</v>
      </c>
      <c r="Y2" s="1" t="s">
        <v>234</v>
      </c>
    </row>
    <row r="3" spans="1:25" ht="19.5" customHeight="1" x14ac:dyDescent="0.2">
      <c r="A3" s="67" t="s">
        <v>166</v>
      </c>
      <c r="B3" s="81">
        <v>1200</v>
      </c>
      <c r="C3" s="116">
        <v>0.18</v>
      </c>
      <c r="D3" s="19">
        <f>B3*C3</f>
        <v>216</v>
      </c>
      <c r="G3" s="67" t="s">
        <v>166</v>
      </c>
      <c r="H3" s="81">
        <v>1800</v>
      </c>
      <c r="I3" s="116">
        <v>0.18</v>
      </c>
      <c r="J3" s="23">
        <f t="shared" ref="J3:J10" si="0">H3*I3</f>
        <v>324</v>
      </c>
      <c r="L3" s="67" t="s">
        <v>166</v>
      </c>
      <c r="M3" s="81">
        <v>2400</v>
      </c>
      <c r="N3" s="116">
        <v>0.18</v>
      </c>
      <c r="O3" s="23">
        <f t="shared" ref="O3:O19" si="1">M3*N3</f>
        <v>432</v>
      </c>
      <c r="Q3" s="67" t="s">
        <v>166</v>
      </c>
      <c r="R3" s="81">
        <v>2400</v>
      </c>
      <c r="S3" s="116">
        <v>0.18</v>
      </c>
      <c r="T3" s="23">
        <f t="shared" ref="T3:T19" si="2">R3*S3</f>
        <v>432</v>
      </c>
      <c r="V3" s="67" t="s">
        <v>166</v>
      </c>
      <c r="W3" s="81">
        <v>3000</v>
      </c>
      <c r="X3" s="116">
        <v>0.18</v>
      </c>
      <c r="Y3" s="23">
        <f t="shared" ref="Y3:Y19" si="3">W3*X3</f>
        <v>540</v>
      </c>
    </row>
    <row r="4" spans="1:25" ht="16" x14ac:dyDescent="0.2">
      <c r="A4" s="67" t="s">
        <v>167</v>
      </c>
      <c r="B4" s="81">
        <v>4800</v>
      </c>
      <c r="C4" s="116">
        <v>0.12</v>
      </c>
      <c r="D4" s="19">
        <f>B4*C4</f>
        <v>576</v>
      </c>
      <c r="G4" s="67" t="s">
        <v>167</v>
      </c>
      <c r="H4" s="81">
        <v>8400</v>
      </c>
      <c r="I4" s="116">
        <v>0.12</v>
      </c>
      <c r="J4" s="23">
        <f t="shared" si="0"/>
        <v>1008</v>
      </c>
      <c r="L4" s="67" t="s">
        <v>167</v>
      </c>
      <c r="M4" s="81">
        <v>8400</v>
      </c>
      <c r="N4" s="116">
        <v>0.12</v>
      </c>
      <c r="O4" s="23">
        <f t="shared" si="1"/>
        <v>1008</v>
      </c>
      <c r="Q4" s="67" t="s">
        <v>167</v>
      </c>
      <c r="R4" s="81">
        <v>8400</v>
      </c>
      <c r="S4" s="116">
        <v>0.12</v>
      </c>
      <c r="T4" s="23">
        <f t="shared" si="2"/>
        <v>1008</v>
      </c>
      <c r="V4" s="67" t="s">
        <v>167</v>
      </c>
      <c r="W4" s="81">
        <v>8400</v>
      </c>
      <c r="X4" s="116">
        <v>0.12</v>
      </c>
      <c r="Y4" s="23">
        <f t="shared" si="3"/>
        <v>1008</v>
      </c>
    </row>
    <row r="5" spans="1:25" ht="16" x14ac:dyDescent="0.2">
      <c r="A5" s="67" t="s">
        <v>168</v>
      </c>
      <c r="B5" s="81">
        <v>6000</v>
      </c>
      <c r="C5" s="116">
        <v>0.12</v>
      </c>
      <c r="D5" s="19">
        <f>B5*C5</f>
        <v>720</v>
      </c>
      <c r="G5" s="67" t="s">
        <v>168</v>
      </c>
      <c r="H5" s="81">
        <v>6000</v>
      </c>
      <c r="I5" s="116">
        <v>0.12</v>
      </c>
      <c r="J5" s="23">
        <f t="shared" si="0"/>
        <v>720</v>
      </c>
      <c r="L5" s="67" t="s">
        <v>168</v>
      </c>
      <c r="M5" s="81">
        <v>6000</v>
      </c>
      <c r="N5" s="116">
        <v>0.12</v>
      </c>
      <c r="O5" s="23">
        <f t="shared" si="1"/>
        <v>720</v>
      </c>
      <c r="Q5" s="67" t="s">
        <v>168</v>
      </c>
      <c r="R5" s="81">
        <v>6000</v>
      </c>
      <c r="S5" s="116">
        <v>0.12</v>
      </c>
      <c r="T5" s="23">
        <f t="shared" si="2"/>
        <v>720</v>
      </c>
      <c r="V5" s="67" t="s">
        <v>168</v>
      </c>
      <c r="W5" s="81">
        <v>6000</v>
      </c>
      <c r="X5" s="116">
        <v>0.12</v>
      </c>
      <c r="Y5" s="23">
        <f t="shared" si="3"/>
        <v>720</v>
      </c>
    </row>
    <row r="6" spans="1:25" x14ac:dyDescent="0.2">
      <c r="A6" s="76" t="s">
        <v>169</v>
      </c>
      <c r="B6" s="78">
        <v>12000</v>
      </c>
      <c r="C6" s="1"/>
      <c r="D6" s="19">
        <f>SUM(D3:D5)</f>
        <v>1512</v>
      </c>
      <c r="G6" s="76" t="s">
        <v>169</v>
      </c>
      <c r="H6" s="78">
        <v>16200</v>
      </c>
      <c r="I6" s="1"/>
      <c r="J6" s="23">
        <f t="shared" si="0"/>
        <v>0</v>
      </c>
      <c r="L6" s="76" t="s">
        <v>169</v>
      </c>
      <c r="M6" s="78">
        <v>16800</v>
      </c>
      <c r="N6" s="1"/>
      <c r="O6" s="23">
        <f t="shared" si="1"/>
        <v>0</v>
      </c>
      <c r="Q6" s="76" t="s">
        <v>169</v>
      </c>
      <c r="R6" s="78">
        <v>16800</v>
      </c>
      <c r="S6" s="1"/>
      <c r="T6" s="23">
        <f t="shared" si="2"/>
        <v>0</v>
      </c>
      <c r="V6" s="76" t="s">
        <v>169</v>
      </c>
      <c r="W6" s="78">
        <v>17400</v>
      </c>
      <c r="X6" s="1"/>
      <c r="Y6" s="23">
        <f t="shared" si="3"/>
        <v>0</v>
      </c>
    </row>
    <row r="7" spans="1:25" x14ac:dyDescent="0.2">
      <c r="A7" s="82" t="s">
        <v>170</v>
      </c>
      <c r="B7" s="40">
        <v>4541.25</v>
      </c>
      <c r="C7" s="27">
        <v>0.18</v>
      </c>
      <c r="D7" s="19">
        <f>B7*C7</f>
        <v>817.42499999999995</v>
      </c>
      <c r="G7" s="82" t="s">
        <v>170</v>
      </c>
      <c r="H7" s="40">
        <v>7245</v>
      </c>
      <c r="I7" s="27">
        <v>0.18</v>
      </c>
      <c r="J7" s="23">
        <f t="shared" si="0"/>
        <v>1304.0999999999999</v>
      </c>
      <c r="L7" s="82" t="s">
        <v>170</v>
      </c>
      <c r="M7" s="40">
        <v>7507.5</v>
      </c>
      <c r="N7" s="27">
        <v>0.18</v>
      </c>
      <c r="O7" s="23">
        <f t="shared" si="1"/>
        <v>1351.35</v>
      </c>
      <c r="Q7" s="82" t="s">
        <v>170</v>
      </c>
      <c r="R7" s="40">
        <v>9135</v>
      </c>
      <c r="S7" s="27">
        <v>0.18</v>
      </c>
      <c r="T7" s="23">
        <f t="shared" si="2"/>
        <v>1644.3</v>
      </c>
      <c r="V7" s="82" t="s">
        <v>170</v>
      </c>
      <c r="W7" s="40">
        <v>10080</v>
      </c>
      <c r="X7" s="27">
        <v>0.18</v>
      </c>
      <c r="Y7" s="23">
        <f t="shared" si="3"/>
        <v>1814.3999999999999</v>
      </c>
    </row>
    <row r="8" spans="1:25" ht="28" x14ac:dyDescent="0.2">
      <c r="A8" s="82" t="s">
        <v>171</v>
      </c>
      <c r="B8" s="40">
        <v>13561.92</v>
      </c>
      <c r="C8" s="27">
        <v>0.18</v>
      </c>
      <c r="D8" s="19">
        <f>B8*C8</f>
        <v>2441.1455999999998</v>
      </c>
      <c r="G8" s="82" t="s">
        <v>171</v>
      </c>
      <c r="H8" s="40">
        <v>11885.76</v>
      </c>
      <c r="I8" s="27">
        <v>0.18</v>
      </c>
      <c r="J8" s="23">
        <f t="shared" si="0"/>
        <v>2139.4367999999999</v>
      </c>
      <c r="L8" s="82" t="s">
        <v>171</v>
      </c>
      <c r="M8" s="40">
        <v>11324.16</v>
      </c>
      <c r="N8" s="27">
        <v>0.18</v>
      </c>
      <c r="O8" s="23">
        <f t="shared" si="1"/>
        <v>2038.3488</v>
      </c>
      <c r="Q8" s="82" t="s">
        <v>171</v>
      </c>
      <c r="R8" s="40">
        <v>10765.44</v>
      </c>
      <c r="S8" s="27">
        <v>0.18</v>
      </c>
      <c r="T8" s="23">
        <f t="shared" si="2"/>
        <v>1937.7791999999999</v>
      </c>
      <c r="V8" s="82" t="s">
        <v>171</v>
      </c>
      <c r="W8" s="40">
        <v>10206.719999999999</v>
      </c>
      <c r="X8" s="27">
        <v>0.18</v>
      </c>
      <c r="Y8" s="23">
        <f t="shared" si="3"/>
        <v>1837.2095999999999</v>
      </c>
    </row>
    <row r="9" spans="1:25" ht="28" x14ac:dyDescent="0.2">
      <c r="A9" s="82" t="s">
        <v>172</v>
      </c>
      <c r="B9" s="40">
        <v>13561.92</v>
      </c>
      <c r="C9" s="27">
        <v>0.18</v>
      </c>
      <c r="D9" s="19">
        <f>B9*C9</f>
        <v>2441.1455999999998</v>
      </c>
      <c r="G9" s="82" t="s">
        <v>172</v>
      </c>
      <c r="H9" s="40">
        <v>35657.279999999999</v>
      </c>
      <c r="I9" s="27">
        <v>0.18</v>
      </c>
      <c r="J9" s="23">
        <f t="shared" si="0"/>
        <v>6418.3103999999994</v>
      </c>
      <c r="L9" s="82" t="s">
        <v>172</v>
      </c>
      <c r="M9" s="40">
        <v>45296.639999999999</v>
      </c>
      <c r="N9" s="27">
        <v>0.18</v>
      </c>
      <c r="O9" s="23">
        <f t="shared" si="1"/>
        <v>8153.3951999999999</v>
      </c>
      <c r="Q9" s="82" t="s">
        <v>172</v>
      </c>
      <c r="R9" s="40">
        <v>53827.199999999997</v>
      </c>
      <c r="S9" s="27">
        <v>0.18</v>
      </c>
      <c r="T9" s="23">
        <f t="shared" si="2"/>
        <v>9688.8959999999988</v>
      </c>
      <c r="V9" s="82" t="s">
        <v>172</v>
      </c>
      <c r="W9" s="40">
        <v>51033.599999999999</v>
      </c>
      <c r="X9" s="27">
        <v>0.18</v>
      </c>
      <c r="Y9" s="23">
        <f t="shared" si="3"/>
        <v>9186.0479999999989</v>
      </c>
    </row>
    <row r="10" spans="1:25" ht="28" x14ac:dyDescent="0.2">
      <c r="A10" s="82" t="s">
        <v>173</v>
      </c>
      <c r="B10" s="39">
        <v>4800</v>
      </c>
      <c r="C10" s="27">
        <v>0.12</v>
      </c>
      <c r="D10" s="19">
        <f>B10*C10</f>
        <v>576</v>
      </c>
      <c r="G10" s="82" t="s">
        <v>173</v>
      </c>
      <c r="H10" s="39">
        <v>5040</v>
      </c>
      <c r="I10" s="27">
        <v>0.12</v>
      </c>
      <c r="J10" s="23">
        <f t="shared" si="0"/>
        <v>604.79999999999995</v>
      </c>
      <c r="L10" s="82" t="s">
        <v>173</v>
      </c>
      <c r="M10" s="39">
        <v>5280</v>
      </c>
      <c r="N10" s="27">
        <v>0.12</v>
      </c>
      <c r="O10" s="23">
        <f t="shared" si="1"/>
        <v>633.6</v>
      </c>
      <c r="Q10" s="82" t="s">
        <v>173</v>
      </c>
      <c r="R10" s="39">
        <v>5520</v>
      </c>
      <c r="S10" s="27">
        <v>0.12</v>
      </c>
      <c r="T10" s="23">
        <f t="shared" si="2"/>
        <v>662.4</v>
      </c>
      <c r="V10" s="82" t="s">
        <v>173</v>
      </c>
      <c r="W10" s="39">
        <v>5760</v>
      </c>
      <c r="X10" s="27">
        <v>0.12</v>
      </c>
      <c r="Y10" s="23">
        <f t="shared" si="3"/>
        <v>691.19999999999993</v>
      </c>
    </row>
    <row r="11" spans="1:25" x14ac:dyDescent="0.2">
      <c r="A11" s="82"/>
      <c r="B11" s="39"/>
      <c r="C11" s="27"/>
      <c r="D11" s="19"/>
      <c r="G11" s="82"/>
      <c r="H11" s="39"/>
      <c r="I11" s="27"/>
      <c r="J11" s="23"/>
      <c r="L11" s="82" t="s">
        <v>235</v>
      </c>
      <c r="M11" s="39">
        <v>75000</v>
      </c>
      <c r="N11" s="27">
        <v>0.12</v>
      </c>
      <c r="O11" s="23">
        <f t="shared" si="1"/>
        <v>9000</v>
      </c>
      <c r="Q11" s="82" t="s">
        <v>235</v>
      </c>
      <c r="R11" s="39">
        <v>75000</v>
      </c>
      <c r="S11" s="27">
        <v>0.12</v>
      </c>
      <c r="T11" s="23">
        <f t="shared" si="2"/>
        <v>9000</v>
      </c>
      <c r="V11" s="82" t="s">
        <v>235</v>
      </c>
      <c r="W11" s="39">
        <v>75000</v>
      </c>
      <c r="X11" s="27">
        <v>0.12</v>
      </c>
      <c r="Y11" s="23">
        <f t="shared" si="3"/>
        <v>9000</v>
      </c>
    </row>
    <row r="12" spans="1:25" ht="28" x14ac:dyDescent="0.2">
      <c r="A12" s="82" t="s">
        <v>174</v>
      </c>
      <c r="B12" s="81">
        <v>1800</v>
      </c>
      <c r="C12" s="27">
        <v>0.12</v>
      </c>
      <c r="D12" s="19">
        <f t="shared" ref="D12:D18" si="4">B12*C12</f>
        <v>216</v>
      </c>
      <c r="G12" s="82" t="s">
        <v>174</v>
      </c>
      <c r="H12" s="81">
        <v>1800</v>
      </c>
      <c r="I12" s="27">
        <v>0.12</v>
      </c>
      <c r="J12" s="23">
        <f t="shared" ref="J12:J18" si="5">H12*I12</f>
        <v>216</v>
      </c>
      <c r="L12" s="82" t="s">
        <v>174</v>
      </c>
      <c r="M12" s="81">
        <v>1800</v>
      </c>
      <c r="N12" s="27">
        <v>0.12</v>
      </c>
      <c r="O12" s="23">
        <f t="shared" si="1"/>
        <v>216</v>
      </c>
      <c r="Q12" s="82" t="s">
        <v>174</v>
      </c>
      <c r="R12" s="81">
        <v>1800</v>
      </c>
      <c r="S12" s="27">
        <v>0.12</v>
      </c>
      <c r="T12" s="23">
        <f t="shared" si="2"/>
        <v>216</v>
      </c>
      <c r="V12" s="82" t="s">
        <v>174</v>
      </c>
      <c r="W12" s="81">
        <v>1800</v>
      </c>
      <c r="X12" s="27">
        <v>0.12</v>
      </c>
      <c r="Y12" s="23">
        <f t="shared" si="3"/>
        <v>216</v>
      </c>
    </row>
    <row r="13" spans="1:25" x14ac:dyDescent="0.2">
      <c r="A13" s="84" t="s">
        <v>175</v>
      </c>
      <c r="B13" s="81">
        <v>1200</v>
      </c>
      <c r="C13" s="27">
        <v>0.12</v>
      </c>
      <c r="D13" s="19">
        <f t="shared" si="4"/>
        <v>144</v>
      </c>
      <c r="G13" s="84" t="s">
        <v>175</v>
      </c>
      <c r="H13" s="81">
        <v>1200</v>
      </c>
      <c r="I13" s="27">
        <v>0.12</v>
      </c>
      <c r="J13" s="23">
        <f t="shared" si="5"/>
        <v>144</v>
      </c>
      <c r="L13" s="84" t="s">
        <v>175</v>
      </c>
      <c r="M13" s="81">
        <v>1200</v>
      </c>
      <c r="N13" s="27">
        <v>0.12</v>
      </c>
      <c r="O13" s="23">
        <f t="shared" si="1"/>
        <v>144</v>
      </c>
      <c r="Q13" s="84" t="s">
        <v>175</v>
      </c>
      <c r="R13" s="81">
        <v>1200</v>
      </c>
      <c r="S13" s="27">
        <v>0.12</v>
      </c>
      <c r="T13" s="23">
        <f t="shared" si="2"/>
        <v>144</v>
      </c>
      <c r="V13" s="84" t="s">
        <v>175</v>
      </c>
      <c r="W13" s="81">
        <v>1200</v>
      </c>
      <c r="X13" s="27">
        <v>0.12</v>
      </c>
      <c r="Y13" s="23">
        <f t="shared" si="3"/>
        <v>144</v>
      </c>
    </row>
    <row r="14" spans="1:25" ht="16" x14ac:dyDescent="0.2">
      <c r="A14" s="67" t="s">
        <v>176</v>
      </c>
      <c r="B14" s="81">
        <v>48000</v>
      </c>
      <c r="C14" s="27">
        <v>0.12</v>
      </c>
      <c r="D14" s="19">
        <f t="shared" si="4"/>
        <v>5760</v>
      </c>
      <c r="G14" s="67" t="s">
        <v>176</v>
      </c>
      <c r="H14" s="81">
        <v>50400</v>
      </c>
      <c r="I14" s="27">
        <v>0.12</v>
      </c>
      <c r="J14" s="23">
        <f t="shared" si="5"/>
        <v>6048</v>
      </c>
      <c r="L14" s="67" t="s">
        <v>176</v>
      </c>
      <c r="M14" s="81">
        <v>50400</v>
      </c>
      <c r="N14" s="27">
        <v>0.12</v>
      </c>
      <c r="O14" s="23">
        <f t="shared" si="1"/>
        <v>6048</v>
      </c>
      <c r="Q14" s="67" t="s">
        <v>176</v>
      </c>
      <c r="R14" s="81">
        <v>55440</v>
      </c>
      <c r="S14" s="27">
        <v>0.12</v>
      </c>
      <c r="T14" s="23">
        <f t="shared" si="2"/>
        <v>6652.8</v>
      </c>
      <c r="V14" s="67" t="s">
        <v>176</v>
      </c>
      <c r="W14" s="81">
        <v>58212</v>
      </c>
      <c r="X14" s="27">
        <v>0.12</v>
      </c>
      <c r="Y14" s="23">
        <f t="shared" si="3"/>
        <v>6985.44</v>
      </c>
    </row>
    <row r="15" spans="1:25" x14ac:dyDescent="0.2">
      <c r="A15" s="82" t="s">
        <v>177</v>
      </c>
      <c r="B15" s="81">
        <v>3600</v>
      </c>
      <c r="C15" s="27">
        <v>0.12</v>
      </c>
      <c r="D15" s="19">
        <f t="shared" si="4"/>
        <v>432</v>
      </c>
      <c r="G15" s="82" t="s">
        <v>177</v>
      </c>
      <c r="H15" s="81">
        <v>3600</v>
      </c>
      <c r="I15" s="27">
        <v>0.12</v>
      </c>
      <c r="J15" s="23">
        <f t="shared" si="5"/>
        <v>432</v>
      </c>
      <c r="L15" s="82" t="s">
        <v>177</v>
      </c>
      <c r="M15" s="81">
        <v>3600</v>
      </c>
      <c r="N15" s="27">
        <v>0.12</v>
      </c>
      <c r="O15" s="23">
        <f t="shared" si="1"/>
        <v>432</v>
      </c>
      <c r="Q15" s="82" t="s">
        <v>177</v>
      </c>
      <c r="R15" s="81">
        <v>3600</v>
      </c>
      <c r="S15" s="27">
        <v>0.12</v>
      </c>
      <c r="T15" s="23">
        <f t="shared" si="2"/>
        <v>432</v>
      </c>
      <c r="V15" s="82" t="s">
        <v>177</v>
      </c>
      <c r="W15" s="81">
        <v>3600</v>
      </c>
      <c r="X15" s="27">
        <v>0.12</v>
      </c>
      <c r="Y15" s="23">
        <f t="shared" si="3"/>
        <v>432</v>
      </c>
    </row>
    <row r="16" spans="1:25" ht="16" x14ac:dyDescent="0.2">
      <c r="A16" s="67" t="s">
        <v>178</v>
      </c>
      <c r="B16" s="81">
        <v>8400</v>
      </c>
      <c r="C16" s="27">
        <v>0.18</v>
      </c>
      <c r="D16" s="19">
        <f t="shared" si="4"/>
        <v>1512</v>
      </c>
      <c r="G16" s="67" t="s">
        <v>178</v>
      </c>
      <c r="H16" s="81">
        <v>9600</v>
      </c>
      <c r="I16" s="27">
        <v>0.18</v>
      </c>
      <c r="J16" s="23">
        <f t="shared" si="5"/>
        <v>1728</v>
      </c>
      <c r="L16" s="67" t="s">
        <v>178</v>
      </c>
      <c r="M16" s="81">
        <v>10800</v>
      </c>
      <c r="N16" s="27">
        <v>0.18</v>
      </c>
      <c r="O16" s="23">
        <f t="shared" si="1"/>
        <v>1944</v>
      </c>
      <c r="Q16" s="67" t="s">
        <v>178</v>
      </c>
      <c r="R16" s="81">
        <v>12000</v>
      </c>
      <c r="S16" s="27">
        <v>0.18</v>
      </c>
      <c r="T16" s="23">
        <f t="shared" si="2"/>
        <v>2160</v>
      </c>
      <c r="V16" s="67" t="s">
        <v>178</v>
      </c>
      <c r="W16" s="81">
        <v>12000</v>
      </c>
      <c r="X16" s="27">
        <v>0.18</v>
      </c>
      <c r="Y16" s="23">
        <f t="shared" si="3"/>
        <v>2160</v>
      </c>
    </row>
    <row r="17" spans="1:25" x14ac:dyDescent="0.2">
      <c r="A17" s="82" t="s">
        <v>179</v>
      </c>
      <c r="B17" s="81">
        <v>15000</v>
      </c>
      <c r="C17" s="27">
        <v>0.18</v>
      </c>
      <c r="D17" s="19">
        <f t="shared" si="4"/>
        <v>2700</v>
      </c>
      <c r="G17" s="82" t="s">
        <v>179</v>
      </c>
      <c r="H17" s="105">
        <v>6500</v>
      </c>
      <c r="I17" s="27">
        <v>0.18</v>
      </c>
      <c r="J17" s="23">
        <f t="shared" si="5"/>
        <v>1170</v>
      </c>
      <c r="L17" s="82" t="s">
        <v>179</v>
      </c>
      <c r="M17" s="81">
        <v>1000</v>
      </c>
      <c r="N17" s="27">
        <v>0.18</v>
      </c>
      <c r="O17" s="23">
        <f t="shared" si="1"/>
        <v>180</v>
      </c>
      <c r="Q17" s="82" t="s">
        <v>179</v>
      </c>
      <c r="R17" s="81">
        <v>1000</v>
      </c>
      <c r="S17" s="27">
        <v>0.18</v>
      </c>
      <c r="T17" s="23">
        <f t="shared" si="2"/>
        <v>180</v>
      </c>
      <c r="V17" s="82" t="s">
        <v>179</v>
      </c>
      <c r="W17" s="81">
        <v>1000</v>
      </c>
      <c r="X17" s="27">
        <v>0.18</v>
      </c>
      <c r="Y17" s="23">
        <f t="shared" si="3"/>
        <v>180</v>
      </c>
    </row>
    <row r="18" spans="1:25" x14ac:dyDescent="0.2">
      <c r="A18" s="82" t="s">
        <v>180</v>
      </c>
      <c r="B18" s="81">
        <v>40800</v>
      </c>
      <c r="C18" s="27">
        <v>0.12</v>
      </c>
      <c r="D18" s="19">
        <f t="shared" si="4"/>
        <v>4896</v>
      </c>
      <c r="G18" s="82" t="s">
        <v>180</v>
      </c>
      <c r="H18" s="117">
        <v>22500</v>
      </c>
      <c r="I18" s="27">
        <v>0.12</v>
      </c>
      <c r="J18" s="23">
        <f t="shared" si="5"/>
        <v>2700</v>
      </c>
      <c r="L18" s="82" t="s">
        <v>180</v>
      </c>
      <c r="M18" s="81">
        <v>21000</v>
      </c>
      <c r="N18" s="27">
        <v>0.12</v>
      </c>
      <c r="O18" s="23">
        <f t="shared" si="1"/>
        <v>2520</v>
      </c>
      <c r="Q18" s="82" t="s">
        <v>180</v>
      </c>
      <c r="R18" s="81">
        <v>71000</v>
      </c>
      <c r="S18" s="27">
        <v>0.12</v>
      </c>
      <c r="T18" s="23">
        <f t="shared" si="2"/>
        <v>8520</v>
      </c>
      <c r="V18" s="82" t="s">
        <v>180</v>
      </c>
      <c r="W18" s="81">
        <v>21000</v>
      </c>
      <c r="X18" s="27">
        <v>0.12</v>
      </c>
      <c r="Y18" s="23">
        <f t="shared" si="3"/>
        <v>2520</v>
      </c>
    </row>
    <row r="19" spans="1:25" x14ac:dyDescent="0.2">
      <c r="D19" s="118">
        <f>SUM(D3:D18)</f>
        <v>24959.716199999999</v>
      </c>
      <c r="H19" s="111"/>
      <c r="J19" s="118">
        <f>SUM(J3:J18)</f>
        <v>24956.647199999999</v>
      </c>
      <c r="L19" s="119" t="s">
        <v>236</v>
      </c>
      <c r="M19" s="81">
        <v>15000</v>
      </c>
      <c r="N19" s="120">
        <v>0.18</v>
      </c>
      <c r="O19" s="23">
        <f t="shared" si="1"/>
        <v>2700</v>
      </c>
      <c r="Q19" s="119" t="s">
        <v>236</v>
      </c>
      <c r="R19" s="81">
        <v>10000</v>
      </c>
      <c r="S19" s="120">
        <v>0.18</v>
      </c>
      <c r="T19" s="23">
        <f t="shared" si="2"/>
        <v>1800</v>
      </c>
      <c r="V19" s="119" t="s">
        <v>236</v>
      </c>
      <c r="W19" s="81">
        <v>10000</v>
      </c>
      <c r="X19" s="27">
        <v>0.18</v>
      </c>
      <c r="Y19" s="23">
        <f t="shared" si="3"/>
        <v>1800</v>
      </c>
    </row>
    <row r="20" spans="1:25" x14ac:dyDescent="0.2">
      <c r="H20" s="111"/>
      <c r="O20" s="121">
        <f>SUM(O3:O19)</f>
        <v>37520.694000000003</v>
      </c>
      <c r="T20" s="121">
        <f>SUM(T3:T19)</f>
        <v>45198.175199999998</v>
      </c>
      <c r="Y20" s="121">
        <f>SUM(Y3:Y19)</f>
        <v>39234.297599999998</v>
      </c>
    </row>
    <row r="23" spans="1:25" s="122" customFormat="1" x14ac:dyDescent="0.2">
      <c r="A23" s="222" t="s">
        <v>237</v>
      </c>
      <c r="B23" s="222"/>
      <c r="D23" s="222" t="s">
        <v>238</v>
      </c>
      <c r="E23" s="222"/>
      <c r="G23" s="222" t="s">
        <v>239</v>
      </c>
      <c r="H23" s="222"/>
      <c r="K23" s="222" t="s">
        <v>240</v>
      </c>
      <c r="L23" s="222"/>
      <c r="O23" s="222" t="s">
        <v>241</v>
      </c>
      <c r="P23" s="222"/>
    </row>
    <row r="25" spans="1:25" x14ac:dyDescent="0.2">
      <c r="A25" t="s">
        <v>242</v>
      </c>
      <c r="B25" s="23">
        <f>'Charges d''exploitation'!O12</f>
        <v>1174886.162152</v>
      </c>
      <c r="D25" t="s">
        <v>242</v>
      </c>
      <c r="E25" s="23">
        <f>'Charges d''exploitation'!O55</f>
        <v>1828639.1478720002</v>
      </c>
      <c r="G25" t="s">
        <v>242</v>
      </c>
      <c r="H25" s="23">
        <f>'Charges d''exploitation'!O101</f>
        <v>2334497.6682239999</v>
      </c>
      <c r="K25" t="s">
        <v>242</v>
      </c>
      <c r="L25" s="23">
        <f>'Charges d''exploitation'!O140</f>
        <v>2256213.7136640004</v>
      </c>
      <c r="O25" t="s">
        <v>242</v>
      </c>
      <c r="P25" s="23">
        <f>'Charges d''exploitation'!O185</f>
        <v>2456354.528256</v>
      </c>
    </row>
    <row r="26" spans="1:25" x14ac:dyDescent="0.2">
      <c r="A26" t="s">
        <v>243</v>
      </c>
      <c r="B26" s="27">
        <v>0.18</v>
      </c>
      <c r="D26" t="s">
        <v>243</v>
      </c>
      <c r="E26" s="27">
        <v>0.18</v>
      </c>
      <c r="G26" t="s">
        <v>243</v>
      </c>
      <c r="H26" s="27">
        <v>0.18</v>
      </c>
      <c r="K26" t="s">
        <v>243</v>
      </c>
      <c r="L26" s="27">
        <v>0.18</v>
      </c>
      <c r="O26" t="s">
        <v>243</v>
      </c>
      <c r="P26" s="27">
        <v>0.18</v>
      </c>
    </row>
    <row r="27" spans="1:25" x14ac:dyDescent="0.2">
      <c r="A27" s="123" t="s">
        <v>244</v>
      </c>
      <c r="B27" s="124">
        <f>B25*B26</f>
        <v>211479.50918736</v>
      </c>
      <c r="D27" s="123" t="s">
        <v>244</v>
      </c>
      <c r="E27" s="124">
        <f>E25*E26</f>
        <v>329155.04661696003</v>
      </c>
      <c r="G27" s="123" t="s">
        <v>244</v>
      </c>
      <c r="H27" s="124">
        <f>H25*H26</f>
        <v>420209.58028031996</v>
      </c>
      <c r="K27" s="123" t="s">
        <v>244</v>
      </c>
      <c r="L27" s="124">
        <f>L25*L26</f>
        <v>406118.46845952008</v>
      </c>
      <c r="O27" s="123" t="s">
        <v>244</v>
      </c>
      <c r="P27" s="124">
        <f>P25*P26</f>
        <v>442143.81508607999</v>
      </c>
    </row>
    <row r="28" spans="1:25" x14ac:dyDescent="0.2">
      <c r="B28" s="1"/>
      <c r="E28" s="1"/>
      <c r="H28" s="1"/>
      <c r="L28" s="1"/>
      <c r="P28" s="1"/>
    </row>
    <row r="29" spans="1:25" x14ac:dyDescent="0.2">
      <c r="B29" s="1"/>
      <c r="E29" s="1"/>
      <c r="H29" s="1"/>
      <c r="L29" s="1"/>
      <c r="P29" s="1"/>
    </row>
    <row r="30" spans="1:25" x14ac:dyDescent="0.2">
      <c r="A30" t="s">
        <v>245</v>
      </c>
      <c r="B30" s="1">
        <f>'Invest-Amort et TVA'!D101</f>
        <v>117387</v>
      </c>
      <c r="D30" t="s">
        <v>245</v>
      </c>
      <c r="E30" s="1">
        <f>'Invest-Amort et TVA'!E101</f>
        <v>15228</v>
      </c>
      <c r="G30" t="s">
        <v>245</v>
      </c>
      <c r="H30" s="1">
        <f>'Invest-Amort et TVA'!F101</f>
        <v>3264</v>
      </c>
      <c r="K30" t="s">
        <v>245</v>
      </c>
      <c r="L30" s="1">
        <f>'Invest-Amort et TVA'!G101</f>
        <v>312</v>
      </c>
      <c r="O30" t="s">
        <v>245</v>
      </c>
      <c r="P30" s="1">
        <f>'Invest-Amort et TVA'!H101</f>
        <v>312</v>
      </c>
    </row>
    <row r="31" spans="1:25" ht="32" x14ac:dyDescent="0.2">
      <c r="A31" s="35" t="s">
        <v>246</v>
      </c>
      <c r="B31" s="23">
        <f>D19</f>
        <v>24959.716199999999</v>
      </c>
      <c r="D31" s="35" t="s">
        <v>246</v>
      </c>
      <c r="E31" s="23">
        <f>J19</f>
        <v>24956.647199999999</v>
      </c>
      <c r="G31" s="35" t="s">
        <v>246</v>
      </c>
      <c r="H31" s="23">
        <f>O20</f>
        <v>37520.694000000003</v>
      </c>
      <c r="K31" s="35" t="s">
        <v>246</v>
      </c>
      <c r="L31" s="23">
        <f>T20</f>
        <v>45198.175199999998</v>
      </c>
      <c r="O31" s="35" t="s">
        <v>246</v>
      </c>
      <c r="P31" s="23">
        <f>Y20</f>
        <v>39234.297599999998</v>
      </c>
    </row>
    <row r="32" spans="1:25" x14ac:dyDescent="0.2">
      <c r="A32" s="123" t="s">
        <v>247</v>
      </c>
      <c r="B32" s="124">
        <f>SUM(B30:B31)</f>
        <v>142346.7162</v>
      </c>
      <c r="D32" s="123" t="s">
        <v>247</v>
      </c>
      <c r="E32" s="124">
        <f>SUM(E30:E31)</f>
        <v>40184.647199999999</v>
      </c>
      <c r="G32" s="123" t="s">
        <v>247</v>
      </c>
      <c r="H32" s="124">
        <f>SUM(H30:H31)</f>
        <v>40784.694000000003</v>
      </c>
      <c r="K32" s="123" t="s">
        <v>247</v>
      </c>
      <c r="L32" s="124">
        <f>SUM(L30:L31)</f>
        <v>45510.175199999998</v>
      </c>
      <c r="O32" s="123" t="s">
        <v>247</v>
      </c>
      <c r="P32" s="124">
        <f>SUM(P30:P31)</f>
        <v>39546.297599999998</v>
      </c>
    </row>
    <row r="35" spans="1:16" x14ac:dyDescent="0.2">
      <c r="A35" t="s">
        <v>218</v>
      </c>
      <c r="B35" s="19">
        <f>B27-B32</f>
        <v>69132.792987360008</v>
      </c>
      <c r="D35" t="s">
        <v>218</v>
      </c>
      <c r="E35" s="19">
        <f>E27-E32</f>
        <v>288970.39941696002</v>
      </c>
      <c r="G35" t="s">
        <v>218</v>
      </c>
      <c r="H35" s="19">
        <f>H27-H32</f>
        <v>379424.88628031994</v>
      </c>
      <c r="K35" t="s">
        <v>218</v>
      </c>
      <c r="L35" s="23">
        <f>L27-L32</f>
        <v>360608.29325952008</v>
      </c>
      <c r="O35" t="s">
        <v>218</v>
      </c>
      <c r="P35" s="23">
        <f>P27-P32</f>
        <v>402597.51748608</v>
      </c>
    </row>
    <row r="36" spans="1:16" x14ac:dyDescent="0.2">
      <c r="A36" t="s">
        <v>248</v>
      </c>
      <c r="B36" s="124">
        <f>B35/9</f>
        <v>7681.4214430400007</v>
      </c>
      <c r="D36" t="s">
        <v>248</v>
      </c>
      <c r="E36" s="124">
        <f>E35/12</f>
        <v>24080.866618080003</v>
      </c>
      <c r="G36" t="s">
        <v>248</v>
      </c>
      <c r="H36" s="124">
        <f>H35/12</f>
        <v>31618.740523359997</v>
      </c>
      <c r="K36" t="s">
        <v>248</v>
      </c>
      <c r="L36" s="124">
        <f>L35/12</f>
        <v>30050.691104960006</v>
      </c>
      <c r="O36" t="s">
        <v>248</v>
      </c>
      <c r="P36" s="124">
        <f>P35/12</f>
        <v>33549.793123839998</v>
      </c>
    </row>
  </sheetData>
  <mergeCells count="10">
    <mergeCell ref="A1:D1"/>
    <mergeCell ref="G1:J1"/>
    <mergeCell ref="L1:O1"/>
    <mergeCell ref="Q1:T1"/>
    <mergeCell ref="V1:Y1"/>
    <mergeCell ref="A23:B23"/>
    <mergeCell ref="D23:E23"/>
    <mergeCell ref="G23:H23"/>
    <mergeCell ref="K23:L23"/>
    <mergeCell ref="O23:P2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25</vt:i4>
      </vt:variant>
    </vt:vector>
  </HeadingPairs>
  <TitlesOfParts>
    <vt:vector size="25" baseType="lpstr">
      <vt:lpstr>Evolution RH en nombre</vt:lpstr>
      <vt:lpstr>Investissement par RH</vt:lpstr>
      <vt:lpstr>Budget RH en nombre TTC</vt:lpstr>
      <vt:lpstr>Sheet9</vt:lpstr>
      <vt:lpstr>Invest-Amort et TVA</vt:lpstr>
      <vt:lpstr>CASH FLOW - TRESORERIE</vt:lpstr>
      <vt:lpstr>Charges d'exploitation</vt:lpstr>
      <vt:lpstr>Charges prévi-Trésorerie</vt:lpstr>
      <vt:lpstr>Calcul de TVA à payer</vt:lpstr>
      <vt:lpstr>CA Visiophonie</vt:lpstr>
      <vt:lpstr>Sheet4</vt:lpstr>
      <vt:lpstr>Sheet3</vt:lpstr>
      <vt:lpstr>CA - Readspeaker et IBM Watson</vt:lpstr>
      <vt:lpstr>Sheet2</vt:lpstr>
      <vt:lpstr>WATSON ANNUEL</vt:lpstr>
      <vt:lpstr>CHIFFRE D'AFFAIRE B2B</vt:lpstr>
      <vt:lpstr>Sheet5</vt:lpstr>
      <vt:lpstr>CA - Visiophonie - B2B</vt:lpstr>
      <vt:lpstr>Sheet7</vt:lpstr>
      <vt:lpstr>Sheet6</vt:lpstr>
      <vt:lpstr>Frais IBM WATSON</vt:lpstr>
      <vt:lpstr>Frais Readspeaker</vt:lpstr>
      <vt:lpstr>Plan de communication</vt:lpstr>
      <vt:lpstr>Sheet8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Souhir</dc:creator>
  <dc:description/>
  <cp:lastModifiedBy>Kais Khenien</cp:lastModifiedBy>
  <cp:revision>1</cp:revision>
  <dcterms:created xsi:type="dcterms:W3CDTF">2017-10-05T14:39:24Z</dcterms:created>
  <dcterms:modified xsi:type="dcterms:W3CDTF">2026-06-06T10:19:24Z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